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C:\Users\Olga Haber\Desktop\"/>
    </mc:Choice>
  </mc:AlternateContent>
  <bookViews>
    <workbookView xWindow="0" yWindow="0" windowWidth="28800" windowHeight="12435" tabRatio="790" firstSheet="5" activeTab="13"/>
  </bookViews>
  <sheets>
    <sheet name="katalogi" sheetId="4" state="hidden" r:id="rId1"/>
    <sheet name="katalog_gmin_PL26" sheetId="25" state="hidden" r:id="rId2"/>
    <sheet name="wskaźniki_efektu" sheetId="20" state="hidden" r:id="rId3"/>
    <sheet name="instrukcja" sheetId="35" r:id="rId4"/>
    <sheet name="tabela_informacyjna_dla_JST" sheetId="26" r:id="rId5"/>
    <sheet name="tab.1_ZSO_gminy" sheetId="30" r:id="rId6"/>
    <sheet name="tab.1_ZSO_powiaty" sheetId="34" r:id="rId7"/>
    <sheet name="tab.2_EE_gminy" sheetId="18" r:id="rId8"/>
    <sheet name="tab.3_KPP" sheetId="27" r:id="rId9"/>
    <sheet name="tabela_informacyjna_dla_innych" sheetId="29" r:id="rId10"/>
    <sheet name="tab.1_ZSO_zarządcy" sheetId="37" r:id="rId11"/>
    <sheet name="tab.2_EE_org" sheetId="36" r:id="rId12"/>
    <sheet name="tab.4_BDO" sheetId="28" r:id="rId13"/>
    <sheet name="tab.5_PDK" sheetId="31" r:id="rId14"/>
    <sheet name="Arkusz1" sheetId="38" r:id="rId15"/>
  </sheets>
  <externalReferences>
    <externalReference r:id="rId16"/>
    <externalReference r:id="rId17"/>
  </externalReferences>
  <definedNames>
    <definedName name="_xlnm._FilterDatabase" localSheetId="0" hidden="1">katalogi!$A$2:$J$16</definedName>
    <definedName name="buski">katalog_gmin_PL26!$C$113:$C$120</definedName>
    <definedName name="gminy">#REF!</definedName>
    <definedName name="jednostka">#REF!</definedName>
    <definedName name="jędrzejowski">katalog_gmin_PL26!$D$113:$D$121</definedName>
    <definedName name="kazimierski">katalog_gmin_PL26!$E$113:$E$117</definedName>
    <definedName name="Kielce">katalog_gmin_PL26!$B$113</definedName>
    <definedName name="kielecki">katalog_gmin_PL26!$F$113:$F$131</definedName>
    <definedName name="kod_efektu">wskaźniki_efektu!$A$5:$A$16</definedName>
    <definedName name="kod_zadania_CZM">#REF!</definedName>
    <definedName name="kod_zadania_ZK">#REF!</definedName>
    <definedName name="konecki">katalog_gmin_PL26!$G$113:$G$120</definedName>
    <definedName name="las">[1]Listy!$A$1:$A$2</definedName>
    <definedName name="monit_ZSO">wskaźniki_efektu!$B$21:$B$34</definedName>
    <definedName name="nazwy_gmin" localSheetId="5">gminy_26[nazwa gminy]</definedName>
    <definedName name="nazwy_gmin" localSheetId="6">gminy_26[nazwa gminy]</definedName>
    <definedName name="nazwy_gmin" localSheetId="10">gminy_26[nazwa gminy]</definedName>
    <definedName name="nazwy_gmin" localSheetId="11">gminy_26[nazwa gminy]</definedName>
    <definedName name="nazwy_gmin" localSheetId="8">gminy_26[nazwa gminy]</definedName>
    <definedName name="nazwy_gmin" localSheetId="12">gminy_26[nazwa gminy]</definedName>
    <definedName name="nazwy_gmin" localSheetId="9">gminy_26[nazwa gminy]</definedName>
    <definedName name="nazwy_gmin">gminy_26[nazwa gminy]</definedName>
    <definedName name="nazwy_powiaty">katalogi!$B$3:$B$16</definedName>
    <definedName name="opatowski">katalog_gmin_PL26!$H$113:$H$120</definedName>
    <definedName name="ostrowiecki">katalog_gmin_PL26!$I$113:$I$118</definedName>
    <definedName name="pińczowski">katalog_gmin_PL26!$J$113:$J$117</definedName>
    <definedName name="Powiaty">katalog_gmin_PL26!$A$113:$A$126</definedName>
    <definedName name="sandomierski">katalog_gmin_PL26!$K$113:$K$121</definedName>
    <definedName name="skarżyski">katalog_gmin_PL26!$L$113:$L$117</definedName>
    <definedName name="starachowicki">katalog_gmin_PL26!$M$113:$M$117</definedName>
    <definedName name="staszowski">katalog_gmin_PL26!$N$113:$N$120</definedName>
    <definedName name="strefa_PL2401">#REF!</definedName>
    <definedName name="strefa_PL2402">#REF!</definedName>
    <definedName name="strefa_PL2403">#REF!</definedName>
    <definedName name="strefa_PL2404">#REF!</definedName>
    <definedName name="strefa_PL2405">#REF!</definedName>
    <definedName name="włoszczowski">katalog_gmin_PL26!$O$113:$O$118</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12" i="18" l="1"/>
  <c r="D13" i="18"/>
  <c r="D11" i="30"/>
  <c r="C12" i="34" l="1"/>
  <c r="C12" i="37" l="1"/>
  <c r="C13" i="37"/>
  <c r="C14" i="37"/>
  <c r="C15" i="37"/>
  <c r="C16" i="37"/>
  <c r="C17" i="37"/>
  <c r="C18" i="37"/>
  <c r="C19" i="37"/>
  <c r="C20" i="37"/>
  <c r="C11" i="37"/>
  <c r="C11" i="34"/>
  <c r="C13" i="34"/>
  <c r="C14" i="34"/>
  <c r="C15" i="34"/>
  <c r="C16" i="34"/>
  <c r="C17" i="34"/>
  <c r="C18" i="34"/>
  <c r="C19" i="34"/>
  <c r="C20" i="34"/>
  <c r="H8" i="29" l="1"/>
  <c r="D8" i="29"/>
  <c r="D10" i="28"/>
  <c r="D11" i="28"/>
  <c r="D12" i="28"/>
  <c r="D13" i="28"/>
  <c r="D14" i="28"/>
  <c r="D15" i="28"/>
  <c r="D16" i="28"/>
  <c r="D17" i="28"/>
  <c r="D18" i="28"/>
  <c r="D9" i="28"/>
  <c r="H7" i="29" l="1"/>
  <c r="G7" i="29"/>
  <c r="C7" i="29"/>
  <c r="D7" i="29"/>
  <c r="F2" i="37"/>
  <c r="T20" i="37"/>
  <c r="T19" i="37"/>
  <c r="U19" i="37" s="1"/>
  <c r="T18" i="37"/>
  <c r="U18" i="37" s="1"/>
  <c r="D18" i="37" s="1"/>
  <c r="T17" i="37"/>
  <c r="U17" i="37" s="1"/>
  <c r="T16" i="37"/>
  <c r="T15" i="37"/>
  <c r="U15" i="37" s="1"/>
  <c r="T14" i="37"/>
  <c r="U14" i="37" s="1"/>
  <c r="D14" i="37" s="1"/>
  <c r="T13" i="37"/>
  <c r="T12" i="37"/>
  <c r="B9" i="37"/>
  <c r="C9" i="37" s="1"/>
  <c r="D9" i="37" s="1"/>
  <c r="E9" i="37" s="1"/>
  <c r="F9" i="37" s="1"/>
  <c r="G9" i="37" s="1"/>
  <c r="H9" i="37" s="1"/>
  <c r="I9" i="37" s="1"/>
  <c r="J9" i="37" s="1"/>
  <c r="K9" i="37" s="1"/>
  <c r="L9" i="37" s="1"/>
  <c r="M9" i="37" s="1"/>
  <c r="N9" i="37" s="1"/>
  <c r="O9" i="37" s="1"/>
  <c r="P9" i="37" s="1"/>
  <c r="Q9" i="37" s="1"/>
  <c r="O6" i="37"/>
  <c r="N6" i="37"/>
  <c r="J6" i="37"/>
  <c r="I6" i="37"/>
  <c r="C24" i="26"/>
  <c r="U16" i="37" l="1"/>
  <c r="D16" i="37" s="1"/>
  <c r="D15" i="37"/>
  <c r="U20" i="37"/>
  <c r="D20" i="37" s="1"/>
  <c r="D19" i="37"/>
  <c r="D17" i="37"/>
  <c r="U13" i="37"/>
  <c r="U12" i="37"/>
  <c r="B10" i="28"/>
  <c r="B11" i="28"/>
  <c r="B12" i="28"/>
  <c r="B13" i="28"/>
  <c r="B14" i="28"/>
  <c r="B15" i="28"/>
  <c r="B16" i="28"/>
  <c r="B17" i="28"/>
  <c r="B18" i="28"/>
  <c r="B9" i="28"/>
  <c r="D12" i="37" l="1"/>
  <c r="D13" i="37"/>
  <c r="P10" i="36"/>
  <c r="Q10" i="36" s="1"/>
  <c r="C10" i="36" s="1"/>
  <c r="P11" i="36"/>
  <c r="Q11" i="36" s="1"/>
  <c r="C11" i="36" s="1"/>
  <c r="P12" i="36"/>
  <c r="Q12" i="36" s="1"/>
  <c r="C12" i="36" s="1"/>
  <c r="P13" i="36"/>
  <c r="Q13" i="36" s="1"/>
  <c r="C13" i="36" s="1"/>
  <c r="P14" i="36"/>
  <c r="Q14" i="36" s="1"/>
  <c r="C14" i="36" s="1"/>
  <c r="P15" i="36"/>
  <c r="Q15" i="36" s="1"/>
  <c r="C15" i="36" s="1"/>
  <c r="P16" i="36"/>
  <c r="R16" i="36" s="1"/>
  <c r="D16" i="36" s="1"/>
  <c r="P17" i="36"/>
  <c r="Q17" i="36" s="1"/>
  <c r="C17" i="36" s="1"/>
  <c r="P18" i="36"/>
  <c r="Q18" i="36" s="1"/>
  <c r="C18" i="36" s="1"/>
  <c r="AG18" i="36"/>
  <c r="AG17" i="36"/>
  <c r="AG16" i="36"/>
  <c r="AG15" i="36"/>
  <c r="AG14" i="36"/>
  <c r="AG13" i="36"/>
  <c r="AG12" i="36"/>
  <c r="AG11" i="36"/>
  <c r="AG10" i="36"/>
  <c r="AG9" i="36"/>
  <c r="B7" i="36"/>
  <c r="C7" i="36" s="1"/>
  <c r="D7" i="36" s="1"/>
  <c r="M4" i="36"/>
  <c r="L4" i="36"/>
  <c r="K4" i="36"/>
  <c r="J4" i="36"/>
  <c r="I4" i="36"/>
  <c r="H4" i="36"/>
  <c r="G4" i="36"/>
  <c r="E23" i="26"/>
  <c r="F23" i="26"/>
  <c r="E20" i="26"/>
  <c r="C20" i="26"/>
  <c r="D24" i="26"/>
  <c r="F2" i="34"/>
  <c r="Z15" i="25"/>
  <c r="T5" i="25"/>
  <c r="U5" i="25"/>
  <c r="V5" i="25"/>
  <c r="W5" i="25"/>
  <c r="X5" i="25"/>
  <c r="Y5" i="25"/>
  <c r="Z5" i="25"/>
  <c r="T6" i="25"/>
  <c r="U6" i="25"/>
  <c r="V6" i="25"/>
  <c r="W6" i="25"/>
  <c r="X6" i="25"/>
  <c r="Y6" i="25"/>
  <c r="Z6" i="25"/>
  <c r="T7" i="25"/>
  <c r="U7" i="25"/>
  <c r="V7" i="25"/>
  <c r="W7" i="25"/>
  <c r="X7" i="25"/>
  <c r="Y7" i="25"/>
  <c r="Z7" i="25"/>
  <c r="T8" i="25"/>
  <c r="U8" i="25"/>
  <c r="V8" i="25"/>
  <c r="W8" i="25"/>
  <c r="X8" i="25"/>
  <c r="Y8" i="25"/>
  <c r="Z8" i="25"/>
  <c r="T9" i="25"/>
  <c r="U9" i="25"/>
  <c r="V9" i="25"/>
  <c r="W9" i="25"/>
  <c r="X9" i="25"/>
  <c r="Y9" i="25"/>
  <c r="Z9" i="25"/>
  <c r="T10" i="25"/>
  <c r="U10" i="25"/>
  <c r="V10" i="25"/>
  <c r="W10" i="25"/>
  <c r="X10" i="25"/>
  <c r="Y10" i="25"/>
  <c r="Z10" i="25"/>
  <c r="T11" i="25"/>
  <c r="U11" i="25"/>
  <c r="V11" i="25"/>
  <c r="W11" i="25"/>
  <c r="X11" i="25"/>
  <c r="Y11" i="25"/>
  <c r="Z11" i="25"/>
  <c r="T12" i="25"/>
  <c r="U12" i="25"/>
  <c r="V12" i="25"/>
  <c r="W12" i="25"/>
  <c r="X12" i="25"/>
  <c r="Y12" i="25"/>
  <c r="Z12" i="25"/>
  <c r="T13" i="25"/>
  <c r="U13" i="25"/>
  <c r="V13" i="25"/>
  <c r="W13" i="25"/>
  <c r="X13" i="25"/>
  <c r="Y13" i="25"/>
  <c r="Z13" i="25"/>
  <c r="T14" i="25"/>
  <c r="U14" i="25"/>
  <c r="V14" i="25"/>
  <c r="W14" i="25"/>
  <c r="X14" i="25"/>
  <c r="Y14" i="25"/>
  <c r="Z14" i="25"/>
  <c r="T15" i="25"/>
  <c r="U15" i="25"/>
  <c r="V15" i="25"/>
  <c r="W15" i="25"/>
  <c r="X15" i="25"/>
  <c r="Y15" i="25"/>
  <c r="T16" i="25"/>
  <c r="U16" i="25"/>
  <c r="V16" i="25"/>
  <c r="W16" i="25"/>
  <c r="X16" i="25"/>
  <c r="Y16" i="25"/>
  <c r="Z16" i="25"/>
  <c r="T17" i="25"/>
  <c r="U17" i="25"/>
  <c r="V17" i="25"/>
  <c r="W17" i="25"/>
  <c r="X17" i="25"/>
  <c r="Y17" i="25"/>
  <c r="Z17" i="25"/>
  <c r="Z4" i="25"/>
  <c r="Y4" i="25"/>
  <c r="X4" i="25"/>
  <c r="W4" i="25"/>
  <c r="V4" i="25"/>
  <c r="U4" i="25"/>
  <c r="T4" i="25"/>
  <c r="F8" i="26"/>
  <c r="F3" i="34" s="1"/>
  <c r="Q16" i="36" l="1"/>
  <c r="C16" i="36" s="1"/>
  <c r="R17" i="36"/>
  <c r="D17" i="36" s="1"/>
  <c r="R12" i="36"/>
  <c r="D12" i="36" s="1"/>
  <c r="F4" i="34"/>
  <c r="F22" i="26"/>
  <c r="E22" i="26"/>
  <c r="R14" i="36"/>
  <c r="D14" i="36" s="1"/>
  <c r="R11" i="36"/>
  <c r="D11" i="36" s="1"/>
  <c r="R13" i="36"/>
  <c r="D13" i="36" s="1"/>
  <c r="R18" i="36"/>
  <c r="D18" i="36" s="1"/>
  <c r="R10" i="36"/>
  <c r="D10" i="36" s="1"/>
  <c r="R15" i="36"/>
  <c r="D15" i="36" s="1"/>
  <c r="E7" i="36"/>
  <c r="F7" i="36" s="1"/>
  <c r="G7" i="36" s="1"/>
  <c r="H7" i="36" s="1"/>
  <c r="I7" i="36" s="1"/>
  <c r="J7" i="36" s="1"/>
  <c r="K7" i="36" s="1"/>
  <c r="L7" i="36" s="1"/>
  <c r="M7" i="36" s="1"/>
  <c r="N7" i="36" s="1"/>
  <c r="F7" i="26"/>
  <c r="F2" i="30"/>
  <c r="T20" i="34"/>
  <c r="T19" i="34"/>
  <c r="B9" i="34"/>
  <c r="C9" i="34" s="1"/>
  <c r="D9" i="34" s="1"/>
  <c r="E9" i="34" s="1"/>
  <c r="F9" i="34" s="1"/>
  <c r="G9" i="34" s="1"/>
  <c r="H9" i="34" s="1"/>
  <c r="I9" i="34" s="1"/>
  <c r="J9" i="34" s="1"/>
  <c r="K9" i="34" s="1"/>
  <c r="L9" i="34" s="1"/>
  <c r="M9" i="34" s="1"/>
  <c r="N9" i="34" s="1"/>
  <c r="O9" i="34" s="1"/>
  <c r="P9" i="34" s="1"/>
  <c r="Q9" i="34" s="1"/>
  <c r="O6" i="34"/>
  <c r="N6" i="34"/>
  <c r="J6" i="34"/>
  <c r="I6" i="34"/>
  <c r="U20" i="34" l="1"/>
  <c r="U19" i="34"/>
  <c r="D20" i="34" l="1"/>
  <c r="D19" i="34"/>
  <c r="B20" i="30" l="1"/>
  <c r="B19" i="30"/>
  <c r="B18" i="30"/>
  <c r="B17" i="30"/>
  <c r="B16" i="30"/>
  <c r="B15" i="30"/>
  <c r="B14" i="30"/>
  <c r="B13" i="30"/>
  <c r="B12" i="30"/>
  <c r="B11" i="30"/>
  <c r="B9" i="30"/>
  <c r="C9" i="30" s="1"/>
  <c r="D9" i="30" s="1"/>
  <c r="E9" i="30" s="1"/>
  <c r="F9" i="30" s="1"/>
  <c r="G9" i="30" s="1"/>
  <c r="H9" i="30" s="1"/>
  <c r="I9" i="30" s="1"/>
  <c r="J9" i="30" s="1"/>
  <c r="K9" i="30" s="1"/>
  <c r="L9" i="30" s="1"/>
  <c r="O6" i="30"/>
  <c r="N6" i="30"/>
  <c r="J6" i="30"/>
  <c r="I6" i="30"/>
  <c r="M9" i="30" l="1"/>
  <c r="N9" i="30" s="1"/>
  <c r="O9" i="30" s="1"/>
  <c r="P9" i="30" s="1"/>
  <c r="E7" i="26"/>
  <c r="B7" i="28" l="1"/>
  <c r="C7" i="28" s="1"/>
  <c r="D7" i="28" s="1"/>
  <c r="E7" i="28" s="1"/>
  <c r="F7" i="28" s="1"/>
  <c r="G7" i="28" s="1"/>
  <c r="H7" i="28" s="1"/>
  <c r="AC18" i="28"/>
  <c r="AC17" i="28"/>
  <c r="AC16" i="28"/>
  <c r="AC15" i="28"/>
  <c r="AC14" i="28"/>
  <c r="AC13" i="28"/>
  <c r="AC12" i="28"/>
  <c r="AC11" i="28"/>
  <c r="AC10" i="28"/>
  <c r="AC9" i="28"/>
  <c r="J4" i="28"/>
  <c r="I4" i="28"/>
  <c r="H4" i="28"/>
  <c r="G14" i="27"/>
  <c r="G15" i="27"/>
  <c r="G16" i="27"/>
  <c r="G17" i="27"/>
  <c r="G18" i="27"/>
  <c r="G19" i="27"/>
  <c r="G20" i="27"/>
  <c r="G21" i="27"/>
  <c r="G22" i="27"/>
  <c r="G13" i="27"/>
  <c r="I7" i="27"/>
  <c r="J7" i="27"/>
  <c r="K7" i="27"/>
  <c r="L7" i="27"/>
  <c r="M7" i="27"/>
  <c r="N7" i="27"/>
  <c r="O7" i="27"/>
  <c r="P7" i="27"/>
  <c r="Q7" i="27"/>
  <c r="H7" i="27"/>
  <c r="G7" i="27" l="1"/>
  <c r="I7" i="28"/>
  <c r="J7" i="28" s="1"/>
  <c r="K7" i="28" s="1"/>
  <c r="AI22" i="27"/>
  <c r="B22" i="27"/>
  <c r="AI21" i="27"/>
  <c r="B21" i="27"/>
  <c r="AI20" i="27"/>
  <c r="B20" i="27"/>
  <c r="AI19" i="27"/>
  <c r="B19" i="27"/>
  <c r="AI18" i="27"/>
  <c r="B18" i="27"/>
  <c r="AI17" i="27"/>
  <c r="B17" i="27"/>
  <c r="AI16" i="27"/>
  <c r="B16" i="27"/>
  <c r="AI15" i="27"/>
  <c r="B15" i="27"/>
  <c r="AI14" i="27"/>
  <c r="B14" i="27"/>
  <c r="AI13" i="27"/>
  <c r="B13" i="27"/>
  <c r="B11" i="27"/>
  <c r="C11" i="27" s="1"/>
  <c r="D11" i="27" s="1"/>
  <c r="E11" i="27" s="1"/>
  <c r="F11" i="27" s="1"/>
  <c r="G11" i="27" s="1"/>
  <c r="H11" i="27" s="1"/>
  <c r="I11" i="27" s="1"/>
  <c r="J11" i="27" s="1"/>
  <c r="K11" i="27" s="1"/>
  <c r="L11" i="27" s="1"/>
  <c r="M11" i="27" s="1"/>
  <c r="N11" i="27" s="1"/>
  <c r="O11" i="27" s="1"/>
  <c r="P11" i="27" s="1"/>
  <c r="Q11" i="27" s="1"/>
  <c r="F4" i="18"/>
  <c r="G4" i="18"/>
  <c r="H4" i="18"/>
  <c r="I4" i="18"/>
  <c r="J4" i="18"/>
  <c r="B9" i="18"/>
  <c r="B11" i="18" l="1"/>
  <c r="B12" i="18"/>
  <c r="B13" i="18"/>
  <c r="B14" i="18"/>
  <c r="B15" i="18"/>
  <c r="B16" i="18"/>
  <c r="B17" i="18"/>
  <c r="B18" i="18"/>
  <c r="B10" i="18"/>
  <c r="C3" i="4" l="1"/>
  <c r="C4" i="4"/>
  <c r="C5" i="4"/>
  <c r="C6" i="4"/>
  <c r="C7" i="4"/>
  <c r="C8" i="4"/>
  <c r="C9" i="4"/>
  <c r="C10" i="4"/>
  <c r="C11" i="4"/>
  <c r="C12" i="4"/>
  <c r="C13" i="4"/>
  <c r="C14" i="4"/>
  <c r="C15" i="4"/>
  <c r="C16" i="4"/>
  <c r="C4" i="25"/>
  <c r="C5" i="25"/>
  <c r="C6" i="25"/>
  <c r="C7" i="25"/>
  <c r="C8" i="25"/>
  <c r="P9" i="36" s="1"/>
  <c r="C9" i="25"/>
  <c r="C10" i="25"/>
  <c r="C11" i="25"/>
  <c r="C12" i="25"/>
  <c r="C13" i="25"/>
  <c r="C14" i="25"/>
  <c r="F9" i="29" s="1"/>
  <c r="E7" i="29" s="1"/>
  <c r="C15" i="25"/>
  <c r="C16" i="25"/>
  <c r="C17"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C66" i="25"/>
  <c r="C67" i="25"/>
  <c r="C68" i="25"/>
  <c r="C69" i="25"/>
  <c r="T14" i="34" s="1"/>
  <c r="U14" i="34" s="1"/>
  <c r="D14" i="34" s="1"/>
  <c r="C70" i="25"/>
  <c r="C71" i="25"/>
  <c r="T15" i="34" s="1"/>
  <c r="U15" i="34" s="1"/>
  <c r="D15" i="34" s="1"/>
  <c r="C72" i="25"/>
  <c r="C73" i="25"/>
  <c r="C74" i="25"/>
  <c r="C75" i="25"/>
  <c r="C76" i="25"/>
  <c r="C77" i="25"/>
  <c r="C78" i="25"/>
  <c r="C79" i="25"/>
  <c r="C80" i="25"/>
  <c r="C81" i="25"/>
  <c r="T13" i="34" s="1"/>
  <c r="U13" i="34" s="1"/>
  <c r="D13" i="34" s="1"/>
  <c r="C82" i="25"/>
  <c r="C83" i="25"/>
  <c r="C84" i="25"/>
  <c r="T17" i="34" s="1"/>
  <c r="U17" i="34" s="1"/>
  <c r="D17" i="34" s="1"/>
  <c r="C85" i="25"/>
  <c r="C86" i="25"/>
  <c r="C87" i="25"/>
  <c r="C88" i="25"/>
  <c r="C89" i="25"/>
  <c r="T18" i="34" s="1"/>
  <c r="U18" i="34" s="1"/>
  <c r="D18" i="34" s="1"/>
  <c r="C90" i="25"/>
  <c r="C91" i="25"/>
  <c r="C92" i="25"/>
  <c r="C93" i="25"/>
  <c r="C94" i="25"/>
  <c r="C95" i="25"/>
  <c r="C96" i="25"/>
  <c r="C97" i="25"/>
  <c r="C98" i="25"/>
  <c r="C99" i="25"/>
  <c r="C100" i="25"/>
  <c r="C101" i="25"/>
  <c r="C102" i="25"/>
  <c r="C103" i="25"/>
  <c r="C104" i="25"/>
  <c r="C105" i="25"/>
  <c r="E3" i="4"/>
  <c r="E4" i="4"/>
  <c r="E5" i="4"/>
  <c r="E6" i="4"/>
  <c r="E7" i="4"/>
  <c r="E8" i="4"/>
  <c r="E9" i="4"/>
  <c r="E10" i="4"/>
  <c r="E11" i="4"/>
  <c r="E12" i="4"/>
  <c r="E13" i="4"/>
  <c r="E14" i="4"/>
  <c r="E15" i="4"/>
  <c r="E16" i="4"/>
  <c r="G4" i="25"/>
  <c r="G5" i="25"/>
  <c r="G6" i="25"/>
  <c r="G7" i="25"/>
  <c r="G8" i="25"/>
  <c r="G9" i="25"/>
  <c r="G10" i="25"/>
  <c r="G11" i="25"/>
  <c r="G12" i="25"/>
  <c r="G13" i="25"/>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B1" i="25"/>
  <c r="C1" i="25" s="1"/>
  <c r="D1" i="25" s="1"/>
  <c r="T12" i="34" l="1"/>
  <c r="T11" i="34"/>
  <c r="U11" i="34" s="1"/>
  <c r="T16" i="34"/>
  <c r="U16" i="34" s="1"/>
  <c r="D16" i="34" s="1"/>
  <c r="Q9" i="36"/>
  <c r="T11" i="37"/>
  <c r="E8" i="29"/>
  <c r="F7" i="29"/>
  <c r="D9" i="26"/>
  <c r="S19" i="30"/>
  <c r="S15" i="30"/>
  <c r="S16" i="30"/>
  <c r="S20" i="30"/>
  <c r="T20" i="30" s="1"/>
  <c r="S18" i="30"/>
  <c r="S12" i="30"/>
  <c r="S11" i="30"/>
  <c r="T11" i="30" s="1"/>
  <c r="S17" i="30"/>
  <c r="S13" i="30"/>
  <c r="T13" i="30" s="1"/>
  <c r="S14" i="30"/>
  <c r="T14" i="30" s="1"/>
  <c r="E1" i="25"/>
  <c r="F1" i="25" s="1"/>
  <c r="G1" i="25" s="1"/>
  <c r="H1" i="25" s="1"/>
  <c r="I1" i="25" s="1"/>
  <c r="F4" i="30" l="1"/>
  <c r="C7" i="26"/>
  <c r="R9" i="36"/>
  <c r="D9" i="36" s="1"/>
  <c r="Q12" i="34"/>
  <c r="Q13" i="37"/>
  <c r="Q20" i="37"/>
  <c r="Q14" i="37"/>
  <c r="Q18" i="37"/>
  <c r="Q19" i="37"/>
  <c r="Q16" i="37"/>
  <c r="Q12" i="37"/>
  <c r="Q15" i="37"/>
  <c r="Q17" i="37"/>
  <c r="T3" i="25"/>
  <c r="Q17" i="34"/>
  <c r="Q15" i="34"/>
  <c r="Q19" i="34"/>
  <c r="Q13" i="34"/>
  <c r="Q16" i="34"/>
  <c r="Q18" i="34"/>
  <c r="Q20" i="34"/>
  <c r="Q14" i="34"/>
  <c r="U12" i="34"/>
  <c r="D12" i="34" s="1"/>
  <c r="Q11" i="34"/>
  <c r="D11" i="34"/>
  <c r="U11" i="37"/>
  <c r="D11" i="37" s="1"/>
  <c r="Q11" i="37"/>
  <c r="C23" i="26"/>
  <c r="D22" i="26"/>
  <c r="C22" i="26"/>
  <c r="J1" i="25"/>
  <c r="T16" i="30"/>
  <c r="T15" i="30"/>
  <c r="T19" i="30"/>
  <c r="T17" i="30"/>
  <c r="D7" i="26"/>
  <c r="F3" i="30"/>
  <c r="T12" i="30"/>
  <c r="T18" i="30"/>
  <c r="C8" i="26"/>
  <c r="D16" i="30" l="1"/>
  <c r="D17" i="30"/>
  <c r="C13" i="18"/>
  <c r="C15" i="27"/>
  <c r="C13" i="27"/>
  <c r="D19" i="30"/>
  <c r="C17" i="27"/>
  <c r="C11" i="18"/>
  <c r="C12" i="18"/>
  <c r="D18" i="30"/>
  <c r="C14" i="18"/>
  <c r="C16" i="27"/>
  <c r="C15" i="18"/>
  <c r="C19" i="27"/>
  <c r="D15" i="30"/>
  <c r="C21" i="27"/>
  <c r="C22" i="27"/>
  <c r="D20" i="30"/>
  <c r="C16" i="18"/>
  <c r="C18" i="27"/>
  <c r="D13" i="30"/>
  <c r="D12" i="30"/>
  <c r="C17" i="18"/>
  <c r="C9" i="18"/>
  <c r="D14" i="30"/>
  <c r="C10" i="18"/>
  <c r="C18" i="18"/>
  <c r="C20" i="27"/>
  <c r="C14" i="27"/>
  <c r="K1" i="25"/>
  <c r="U3" i="25"/>
  <c r="C14" i="30"/>
  <c r="C17" i="30"/>
  <c r="C12" i="30"/>
  <c r="C11" i="30"/>
  <c r="C15" i="30"/>
  <c r="C16" i="30"/>
  <c r="C18" i="30"/>
  <c r="C19" i="30"/>
  <c r="C13" i="30"/>
  <c r="C20" i="30"/>
  <c r="L4" i="18"/>
  <c r="K4" i="18"/>
  <c r="L1" i="25" l="1"/>
  <c r="V3" i="25"/>
  <c r="B1" i="20"/>
  <c r="C1" i="20" s="1"/>
  <c r="S20" i="37" l="1"/>
  <c r="S13" i="37"/>
  <c r="S15" i="37"/>
  <c r="S12" i="37"/>
  <c r="S11" i="37"/>
  <c r="S16" i="37"/>
  <c r="S14" i="37"/>
  <c r="S19" i="37"/>
  <c r="S18" i="37"/>
  <c r="S17" i="37"/>
  <c r="S16" i="34"/>
  <c r="S14" i="34"/>
  <c r="S19" i="34"/>
  <c r="S20" i="34"/>
  <c r="S15" i="34"/>
  <c r="S12" i="34"/>
  <c r="S13" i="34"/>
  <c r="S17" i="34"/>
  <c r="S18" i="34"/>
  <c r="S11" i="34"/>
  <c r="R16" i="30"/>
  <c r="R11" i="30"/>
  <c r="R17" i="30"/>
  <c r="R18" i="30"/>
  <c r="R19" i="30"/>
  <c r="R15" i="30"/>
  <c r="R12" i="30"/>
  <c r="R20" i="30"/>
  <c r="R13" i="30"/>
  <c r="R14" i="30"/>
  <c r="M1" i="25"/>
  <c r="W3" i="25"/>
  <c r="D1" i="20"/>
  <c r="AE10" i="18"/>
  <c r="AE11" i="18"/>
  <c r="AE12" i="18"/>
  <c r="AE13" i="18"/>
  <c r="AE14" i="18"/>
  <c r="AE15" i="18"/>
  <c r="AE16" i="18"/>
  <c r="AE17" i="18"/>
  <c r="AE18" i="18"/>
  <c r="AE9" i="18"/>
  <c r="K17" i="30" l="1"/>
  <c r="L17" i="30"/>
  <c r="M17" i="30"/>
  <c r="K14" i="30"/>
  <c r="M14" i="30"/>
  <c r="L14" i="30"/>
  <c r="K11" i="30"/>
  <c r="L11" i="30"/>
  <c r="M11" i="30"/>
  <c r="M20" i="34"/>
  <c r="L20" i="34"/>
  <c r="K20" i="34"/>
  <c r="M16" i="37"/>
  <c r="K16" i="37"/>
  <c r="L16" i="37"/>
  <c r="M15" i="34"/>
  <c r="L15" i="34"/>
  <c r="K15" i="34"/>
  <c r="M13" i="30"/>
  <c r="L13" i="30"/>
  <c r="K13" i="30"/>
  <c r="L16" i="30"/>
  <c r="M16" i="30"/>
  <c r="K16" i="30"/>
  <c r="M19" i="34"/>
  <c r="K19" i="34"/>
  <c r="L19" i="34"/>
  <c r="M11" i="37"/>
  <c r="K11" i="37"/>
  <c r="L11" i="37"/>
  <c r="M14" i="37"/>
  <c r="K14" i="37"/>
  <c r="L14" i="37"/>
  <c r="K20" i="30"/>
  <c r="L20" i="30"/>
  <c r="M20" i="30"/>
  <c r="M11" i="34"/>
  <c r="K11" i="34"/>
  <c r="L11" i="34"/>
  <c r="K14" i="34"/>
  <c r="M14" i="34"/>
  <c r="L14" i="34"/>
  <c r="M12" i="37"/>
  <c r="K12" i="37"/>
  <c r="L12" i="37"/>
  <c r="M12" i="34"/>
  <c r="K12" i="34"/>
  <c r="L12" i="34"/>
  <c r="L12" i="30"/>
  <c r="K12" i="30"/>
  <c r="M12" i="30"/>
  <c r="K18" i="34"/>
  <c r="L18" i="34"/>
  <c r="M18" i="34"/>
  <c r="M16" i="34"/>
  <c r="L16" i="34"/>
  <c r="K16" i="34"/>
  <c r="M15" i="37"/>
  <c r="L15" i="37"/>
  <c r="K15" i="37"/>
  <c r="M19" i="37"/>
  <c r="K19" i="37"/>
  <c r="L19" i="37"/>
  <c r="K15" i="30"/>
  <c r="L15" i="30"/>
  <c r="M15" i="30"/>
  <c r="M17" i="34"/>
  <c r="K17" i="34"/>
  <c r="L17" i="34"/>
  <c r="M17" i="37"/>
  <c r="L17" i="37"/>
  <c r="K17" i="37"/>
  <c r="M13" i="37"/>
  <c r="L13" i="37"/>
  <c r="K13" i="37"/>
  <c r="K18" i="30"/>
  <c r="M18" i="30"/>
  <c r="L18" i="30"/>
  <c r="K19" i="30"/>
  <c r="L19" i="30"/>
  <c r="M19" i="30"/>
  <c r="M13" i="34"/>
  <c r="K13" i="34"/>
  <c r="L13" i="34"/>
  <c r="M18" i="37"/>
  <c r="K18" i="37"/>
  <c r="L18" i="37"/>
  <c r="M20" i="37"/>
  <c r="L20" i="37"/>
  <c r="K20" i="37"/>
  <c r="N1" i="25"/>
  <c r="X3" i="25"/>
  <c r="E1" i="20"/>
  <c r="K6" i="34" l="1"/>
  <c r="L6" i="37"/>
  <c r="L6" i="34"/>
  <c r="M6" i="34"/>
  <c r="K6" i="37"/>
  <c r="L6" i="30"/>
  <c r="M6" i="37"/>
  <c r="K6" i="30"/>
  <c r="M6" i="30"/>
  <c r="Y3" i="25"/>
  <c r="O1" i="25"/>
  <c r="B7" i="18"/>
  <c r="C7" i="18" s="1"/>
  <c r="D7" i="18" s="1"/>
  <c r="E7" i="18" s="1"/>
  <c r="Z3" i="25" l="1"/>
  <c r="P1" i="25"/>
  <c r="F7" i="18"/>
  <c r="G7" i="18" s="1"/>
  <c r="H7" i="18" s="1"/>
  <c r="I7" i="18" s="1"/>
  <c r="J7" i="18" s="1"/>
  <c r="K7" i="18" s="1"/>
  <c r="L7" i="18" s="1"/>
  <c r="M7" i="18" s="1"/>
  <c r="Q1" i="25" l="1"/>
  <c r="R1" i="25" s="1"/>
  <c r="S1" i="25" s="1"/>
  <c r="T1" i="25" s="1"/>
  <c r="E2" i="18"/>
  <c r="B1" i="4"/>
  <c r="K4" i="4"/>
  <c r="K3" i="4"/>
  <c r="E5" i="25" l="1"/>
  <c r="E12" i="25"/>
  <c r="E20" i="25"/>
  <c r="E28" i="25"/>
  <c r="E36" i="25"/>
  <c r="E44" i="25"/>
  <c r="E52" i="25"/>
  <c r="E60" i="25"/>
  <c r="E68" i="25"/>
  <c r="E76" i="25"/>
  <c r="E84" i="25"/>
  <c r="E92" i="25"/>
  <c r="E100" i="25"/>
  <c r="E33" i="25"/>
  <c r="E73" i="25"/>
  <c r="E19" i="25"/>
  <c r="E67" i="25"/>
  <c r="E13" i="25"/>
  <c r="E21" i="25"/>
  <c r="E29" i="25"/>
  <c r="E37" i="25"/>
  <c r="E45" i="25"/>
  <c r="E53" i="25"/>
  <c r="E61" i="25"/>
  <c r="E69" i="25"/>
  <c r="E77" i="25"/>
  <c r="E85" i="25"/>
  <c r="E93" i="25"/>
  <c r="E101" i="25"/>
  <c r="E41" i="25"/>
  <c r="E89" i="25"/>
  <c r="E27" i="25"/>
  <c r="E83" i="25"/>
  <c r="E6" i="25"/>
  <c r="E14" i="25"/>
  <c r="E22" i="25"/>
  <c r="E30" i="25"/>
  <c r="E38" i="25"/>
  <c r="E46" i="25"/>
  <c r="E54" i="25"/>
  <c r="E62" i="25"/>
  <c r="E70" i="25"/>
  <c r="E78" i="25"/>
  <c r="E86" i="25"/>
  <c r="E94" i="25"/>
  <c r="E102" i="25"/>
  <c r="E95" i="25"/>
  <c r="E103" i="25"/>
  <c r="E9" i="25"/>
  <c r="E49" i="25"/>
  <c r="E81" i="25"/>
  <c r="E51" i="25"/>
  <c r="E91" i="25"/>
  <c r="E7" i="25"/>
  <c r="E15" i="25"/>
  <c r="E23" i="25"/>
  <c r="E31" i="25"/>
  <c r="E39" i="25"/>
  <c r="E47" i="25"/>
  <c r="E55" i="25"/>
  <c r="E63" i="25"/>
  <c r="E71" i="25"/>
  <c r="E79" i="25"/>
  <c r="E87" i="25"/>
  <c r="E96" i="25"/>
  <c r="E17" i="25"/>
  <c r="E57" i="25"/>
  <c r="E97" i="25"/>
  <c r="E59" i="25"/>
  <c r="E8" i="25"/>
  <c r="E16" i="25"/>
  <c r="E24" i="25"/>
  <c r="E32" i="25"/>
  <c r="E40" i="25"/>
  <c r="E48" i="25"/>
  <c r="E56" i="25"/>
  <c r="E64" i="25"/>
  <c r="E72" i="25"/>
  <c r="E80" i="25"/>
  <c r="E88" i="25"/>
  <c r="E104" i="25"/>
  <c r="E25" i="25"/>
  <c r="E65" i="25"/>
  <c r="E105" i="25"/>
  <c r="E35" i="25"/>
  <c r="E99" i="25"/>
  <c r="C1" i="4"/>
  <c r="D1" i="4" s="1"/>
  <c r="E1" i="4" s="1"/>
  <c r="F1" i="4" s="1"/>
  <c r="G1" i="4" s="1"/>
  <c r="H1" i="4" s="1"/>
  <c r="I1" i="4" s="1"/>
  <c r="J1" i="4" s="1"/>
  <c r="K1" i="4" s="1"/>
  <c r="L1" i="4" s="1"/>
  <c r="M1" i="4" s="1"/>
  <c r="N1" i="4" s="1"/>
  <c r="E10" i="25"/>
  <c r="E18" i="25"/>
  <c r="E26" i="25"/>
  <c r="E34" i="25"/>
  <c r="E42" i="25"/>
  <c r="E50" i="25"/>
  <c r="E58" i="25"/>
  <c r="E66" i="25"/>
  <c r="E74" i="25"/>
  <c r="E82" i="25"/>
  <c r="E90" i="25"/>
  <c r="E98" i="25"/>
  <c r="E11" i="25"/>
  <c r="E43" i="25"/>
  <c r="E75" i="25"/>
  <c r="C9" i="36"/>
  <c r="U1" i="25"/>
  <c r="V1" i="25" s="1"/>
  <c r="W1" i="25" s="1"/>
  <c r="X1" i="25" s="1"/>
  <c r="Y1" i="25" s="1"/>
  <c r="Z1" i="25" s="1"/>
  <c r="E2" i="27"/>
  <c r="V11" i="34" a="1"/>
  <c r="E14" i="28" l="1"/>
  <c r="E9" i="28"/>
  <c r="E15" i="28"/>
  <c r="E11" i="28"/>
  <c r="E16" i="28"/>
  <c r="E17" i="28"/>
  <c r="E10" i="28"/>
  <c r="E18" i="28"/>
  <c r="E12" i="28"/>
  <c r="E13" i="28"/>
  <c r="E14" i="37"/>
  <c r="E18" i="37"/>
  <c r="E15" i="37"/>
  <c r="E16" i="37"/>
  <c r="E17" i="37"/>
  <c r="E19" i="37"/>
  <c r="E20" i="37"/>
  <c r="E13" i="37"/>
  <c r="E12" i="37"/>
  <c r="E19" i="34"/>
  <c r="E20" i="34"/>
  <c r="O1" i="4"/>
  <c r="E15" i="34"/>
  <c r="E18" i="34"/>
  <c r="E14" i="34"/>
  <c r="E13" i="34"/>
  <c r="E17" i="34"/>
  <c r="E16" i="34"/>
  <c r="E12" i="34"/>
  <c r="E17" i="36"/>
  <c r="E15" i="36"/>
  <c r="E11" i="37"/>
  <c r="E13" i="36"/>
  <c r="E18" i="36"/>
  <c r="E11" i="34"/>
  <c r="E9" i="36"/>
  <c r="E12" i="36"/>
  <c r="E10" i="36"/>
  <c r="D13" i="27"/>
  <c r="E14" i="36"/>
  <c r="E20" i="30"/>
  <c r="E11" i="36"/>
  <c r="E16" i="36"/>
  <c r="D15" i="27"/>
  <c r="E17" i="30"/>
  <c r="D9" i="18"/>
  <c r="E12" i="30"/>
  <c r="D19" i="27"/>
  <c r="E19" i="30"/>
  <c r="E11" i="30"/>
  <c r="E15" i="30"/>
  <c r="D18" i="18"/>
  <c r="D15" i="18"/>
  <c r="D21" i="27"/>
  <c r="D22" i="27"/>
  <c r="D18" i="27"/>
  <c r="D16" i="18"/>
  <c r="E14" i="30"/>
  <c r="D11" i="18"/>
  <c r="D20" i="27"/>
  <c r="D17" i="18"/>
  <c r="D16" i="27"/>
  <c r="D14" i="18"/>
  <c r="D14" i="27"/>
  <c r="E16" i="30"/>
  <c r="E18" i="30"/>
  <c r="D10" i="18"/>
  <c r="E13" i="30"/>
  <c r="D17" i="27"/>
  <c r="V14" i="34"/>
  <c r="V18" i="34"/>
  <c r="V15" i="34"/>
  <c r="V12" i="34"/>
  <c r="V17" i="34"/>
  <c r="V16" i="34"/>
  <c r="V11" i="34"/>
  <c r="V13" i="34"/>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<sst xmlns="http://schemas.openxmlformats.org/spreadsheetml/2006/main" count="1306" uniqueCount="561">
  <si>
    <t>powiat</t>
  </si>
  <si>
    <t>województwo</t>
  </si>
  <si>
    <t>kod strefy</t>
  </si>
  <si>
    <t>nazwa strefy</t>
  </si>
  <si>
    <t>województo</t>
  </si>
  <si>
    <t>nazwa gminy</t>
  </si>
  <si>
    <t>kod gminy</t>
  </si>
  <si>
    <t>Lp.</t>
  </si>
  <si>
    <t>Województwo</t>
  </si>
  <si>
    <t>Uwagi</t>
  </si>
  <si>
    <t>Zawartość</t>
  </si>
  <si>
    <t>do tabel sprawozdawczych</t>
  </si>
  <si>
    <t>Informacje ogóle na temat sprawozdania z Programu ochrony powietrza</t>
  </si>
  <si>
    <t>Nazwa Urzędu Marszałkowskiego przejmującego sprawozdanie</t>
  </si>
  <si>
    <t>Adres pocztowy Urzędu Marszałkowskiego</t>
  </si>
  <si>
    <t>Numer służbowego faksu osoby do kontaktu</t>
  </si>
  <si>
    <t>Opatów</t>
  </si>
  <si>
    <t>Powiat</t>
  </si>
  <si>
    <t>Strefa i kod strefy</t>
  </si>
  <si>
    <t>kod zadania</t>
  </si>
  <si>
    <t>lokalizacja</t>
  </si>
  <si>
    <t>krótki opis prowadzonych działań</t>
  </si>
  <si>
    <t>sposób finansowania</t>
  </si>
  <si>
    <t>krótko opisać rodzaj prowadzonych działań inwestycyjnych lub modernizacyjnych i ich wpływ na wielkość emisji zanieczyszczeń do powietrza</t>
  </si>
  <si>
    <t>podać koszty sumaryczne poniesione na realizację zadania</t>
  </si>
  <si>
    <r>
      <t>kod zadania</t>
    </r>
    <r>
      <rPr>
        <sz val="9"/>
        <color theme="1"/>
        <rFont val="Calibri"/>
        <family val="2"/>
        <charset val="238"/>
      </rPr>
      <t xml:space="preserve"> </t>
    </r>
  </si>
  <si>
    <r>
      <t>nazwa zadania</t>
    </r>
    <r>
      <rPr>
        <sz val="9"/>
        <color rgb="FF000000"/>
        <rFont val="Calibri"/>
        <family val="2"/>
        <charset val="238"/>
      </rPr>
      <t xml:space="preserve"> </t>
    </r>
  </si>
  <si>
    <r>
      <t>opis realizacji zadania w roku sprawozdawczym</t>
    </r>
    <r>
      <rPr>
        <sz val="9"/>
        <color rgb="FF000000"/>
        <rFont val="Calibri"/>
        <family val="2"/>
        <charset val="238"/>
      </rPr>
      <t xml:space="preserve"> </t>
    </r>
  </si>
  <si>
    <t>Ograniczenie emisji z instalacji o małej mocy do 1 MW, w których następuje spalanie paliw stałych</t>
  </si>
  <si>
    <t>[m2]</t>
  </si>
  <si>
    <t>[szt.]</t>
  </si>
  <si>
    <t>gmina</t>
  </si>
  <si>
    <t>opisać jakie działania edukacyjne były prowadzone w ramach realizacji POP</t>
  </si>
  <si>
    <t>EE</t>
  </si>
  <si>
    <t>jeżeli uzyskano dofinansowanie podać w jakiej kwocie</t>
  </si>
  <si>
    <t>podać liczbę przeprowadzonych kampanii edukacyjnych opisanych w kolumnie 5</t>
  </si>
  <si>
    <t>PM10</t>
  </si>
  <si>
    <t>PM2,5</t>
  </si>
  <si>
    <t>rodzaj działania</t>
  </si>
  <si>
    <t>wypełnia się automatycznie</t>
  </si>
  <si>
    <t>B(a)P</t>
  </si>
  <si>
    <t>w_c.o.</t>
  </si>
  <si>
    <t>likwidacja kotła węglowego - podłączenie do sieci cieplnej</t>
  </si>
  <si>
    <t>w_elektr</t>
  </si>
  <si>
    <t>zmiana ogrzewania węglowego na elektryczne</t>
  </si>
  <si>
    <t>w_gaz</t>
  </si>
  <si>
    <t>zmiana paliwa węglowego na gazowe</t>
  </si>
  <si>
    <t>w_olej</t>
  </si>
  <si>
    <t>instalacja kolektorów słonecznych bez zmiany kotła węglowego</t>
  </si>
  <si>
    <t>wskaźnik redukcji emisji (efektu ekologicznego)</t>
  </si>
  <si>
    <t>kod działania</t>
  </si>
  <si>
    <t>w_pompa</t>
  </si>
  <si>
    <t>[kg/rok]</t>
  </si>
  <si>
    <t>czy pobierać</t>
  </si>
  <si>
    <r>
      <t>koszty łącznie [zł/rok]</t>
    </r>
    <r>
      <rPr>
        <b/>
        <sz val="9"/>
        <color rgb="FFFF0000"/>
        <rFont val="Calibri"/>
        <family val="2"/>
        <charset val="238"/>
      </rPr>
      <t>*</t>
    </r>
  </si>
  <si>
    <t>zmiana paliwa węglowego na olej opałowy</t>
  </si>
  <si>
    <t>ks+WK_R</t>
  </si>
  <si>
    <t>instalacja pompy ciepła (ziemnej lub powietrznej)</t>
  </si>
  <si>
    <t>termo+gaz</t>
  </si>
  <si>
    <t>termo+olej</t>
  </si>
  <si>
    <t>w tym wysokość uzyskanego dofinansowania zewnętrznego [zł/rok]</t>
  </si>
  <si>
    <t>wypełnia się automatycznie, zgodnie z tabelą informacyjną</t>
  </si>
  <si>
    <t>Informacje ogóle na temat sprawozdania z PDK (Plan działań krótkoterminowych)</t>
  </si>
  <si>
    <t>5a</t>
  </si>
  <si>
    <t>świętokrzyskie</t>
  </si>
  <si>
    <t>Urząd Marszałkowski Województwa Świętokrzyskiego</t>
  </si>
  <si>
    <t>PL2601</t>
  </si>
  <si>
    <t>miasto Kielce</t>
  </si>
  <si>
    <t>PL2602</t>
  </si>
  <si>
    <t>strefa świętokrzyska</t>
  </si>
  <si>
    <t>2601</t>
  </si>
  <si>
    <t>2602</t>
  </si>
  <si>
    <t>2603</t>
  </si>
  <si>
    <t>2604</t>
  </si>
  <si>
    <t>2605</t>
  </si>
  <si>
    <t>2606</t>
  </si>
  <si>
    <t>2607</t>
  </si>
  <si>
    <t>2608</t>
  </si>
  <si>
    <t>2609</t>
  </si>
  <si>
    <t>2610</t>
  </si>
  <si>
    <t>2611</t>
  </si>
  <si>
    <t>2612</t>
  </si>
  <si>
    <t>2613</t>
  </si>
  <si>
    <t>2661</t>
  </si>
  <si>
    <t>buski</t>
  </si>
  <si>
    <t>jędrzejowski</t>
  </si>
  <si>
    <t>kazimierski</t>
  </si>
  <si>
    <t>kielecki</t>
  </si>
  <si>
    <t>konecki</t>
  </si>
  <si>
    <t>opatowski</t>
  </si>
  <si>
    <t>ostrowiecki</t>
  </si>
  <si>
    <t>pińczowski</t>
  </si>
  <si>
    <t>sandomierski</t>
  </si>
  <si>
    <t>skarżyski</t>
  </si>
  <si>
    <t>starachowicki</t>
  </si>
  <si>
    <t>staszowski</t>
  </si>
  <si>
    <t>włoszczowski</t>
  </si>
  <si>
    <t>PL2601_ZSO</t>
  </si>
  <si>
    <t>PL2602_ZSO</t>
  </si>
  <si>
    <t>PL2601_EE</t>
  </si>
  <si>
    <t>PL2602_EE</t>
  </si>
  <si>
    <t>PL2601_KPP</t>
  </si>
  <si>
    <t>PL2602_KPP</t>
  </si>
  <si>
    <t>PL2601_BDO</t>
  </si>
  <si>
    <t>PL2602_BDO</t>
  </si>
  <si>
    <t>Prowadzenie kontroli przestrzegania przepisów ograniczających używanie paliw lub urządzeń do celów grzewczych oraz zakazu spalania odpadów</t>
  </si>
  <si>
    <t>Ograniczenie oddziaływania transportu drogowego poprzez wyprowadzenie ruchu tranzytowego poza tereny miejskie</t>
  </si>
  <si>
    <t>2606012</t>
  </si>
  <si>
    <t>Baćkowice</t>
  </si>
  <si>
    <t>2607022</t>
  </si>
  <si>
    <t>Bałtów</t>
  </si>
  <si>
    <t>2603012</t>
  </si>
  <si>
    <t>Bejsce</t>
  </si>
  <si>
    <t>2604012</t>
  </si>
  <si>
    <t>Bieliny</t>
  </si>
  <si>
    <t>2610022</t>
  </si>
  <si>
    <t>Bliżyn</t>
  </si>
  <si>
    <t>2607032</t>
  </si>
  <si>
    <t>Bodzechów</t>
  </si>
  <si>
    <t>2604023</t>
  </si>
  <si>
    <t>Bodzentyn</t>
  </si>
  <si>
    <t>2612012</t>
  </si>
  <si>
    <t>Bogoria</t>
  </si>
  <si>
    <t>2611022</t>
  </si>
  <si>
    <t>Brody</t>
  </si>
  <si>
    <t>2601013</t>
  </si>
  <si>
    <t>Busko-Zdrój</t>
  </si>
  <si>
    <t>2604033</t>
  </si>
  <si>
    <t>Chęciny</t>
  </si>
  <si>
    <t>2604043</t>
  </si>
  <si>
    <t>Chmielnik</t>
  </si>
  <si>
    <t>2603022</t>
  </si>
  <si>
    <t>Czarnocin</t>
  </si>
  <si>
    <t>2607043</t>
  </si>
  <si>
    <t>Ćmielów</t>
  </si>
  <si>
    <t>2604053</t>
  </si>
  <si>
    <t>Daleszyce</t>
  </si>
  <si>
    <t>2609022</t>
  </si>
  <si>
    <t>Dwikozy</t>
  </si>
  <si>
    <t>2608013</t>
  </si>
  <si>
    <t>Działoszyce</t>
  </si>
  <si>
    <t>2605012</t>
  </si>
  <si>
    <t>Fałków</t>
  </si>
  <si>
    <t>2601022</t>
  </si>
  <si>
    <t>Gnojno</t>
  </si>
  <si>
    <t>2605022</t>
  </si>
  <si>
    <t>Gowarczów</t>
  </si>
  <si>
    <t>2604062</t>
  </si>
  <si>
    <t>Górno</t>
  </si>
  <si>
    <t>2602012</t>
  </si>
  <si>
    <t>Imielno</t>
  </si>
  <si>
    <t>2606022</t>
  </si>
  <si>
    <t>Iwaniska</t>
  </si>
  <si>
    <t>2602023</t>
  </si>
  <si>
    <t>Jędrzejów</t>
  </si>
  <si>
    <t>2603033</t>
  </si>
  <si>
    <t>Kazimierza Wielka</t>
  </si>
  <si>
    <t>2608022</t>
  </si>
  <si>
    <t>Kije</t>
  </si>
  <si>
    <t>2609032</t>
  </si>
  <si>
    <t>Klimontów</t>
  </si>
  <si>
    <t>2613012</t>
  </si>
  <si>
    <t>Kluczewsko</t>
  </si>
  <si>
    <t>2605033</t>
  </si>
  <si>
    <t>Końskie</t>
  </si>
  <si>
    <t>2609043</t>
  </si>
  <si>
    <t>Koprzywnica</t>
  </si>
  <si>
    <t>2613022</t>
  </si>
  <si>
    <t>Krasocin</t>
  </si>
  <si>
    <t>2607053</t>
  </si>
  <si>
    <t>Kunów</t>
  </si>
  <si>
    <t>2606032</t>
  </si>
  <si>
    <t>Lipnik</t>
  </si>
  <si>
    <t>2604073</t>
  </si>
  <si>
    <t>Łagów</t>
  </si>
  <si>
    <t>2610032</t>
  </si>
  <si>
    <t>Łączna</t>
  </si>
  <si>
    <t>2609052</t>
  </si>
  <si>
    <t>Łoniów</t>
  </si>
  <si>
    <t>2604082</t>
  </si>
  <si>
    <t>Łopuszno</t>
  </si>
  <si>
    <t>2612022</t>
  </si>
  <si>
    <t>Łubnice</t>
  </si>
  <si>
    <t>2602033</t>
  </si>
  <si>
    <t>Małogoszcz</t>
  </si>
  <si>
    <t>2604092</t>
  </si>
  <si>
    <t>Masłów</t>
  </si>
  <si>
    <t>2608032</t>
  </si>
  <si>
    <t>Michałów</t>
  </si>
  <si>
    <t>2604102</t>
  </si>
  <si>
    <t>Miedziana Góra</t>
  </si>
  <si>
    <t>2611032</t>
  </si>
  <si>
    <t>Mirzec</t>
  </si>
  <si>
    <t>2604112</t>
  </si>
  <si>
    <t>Mniów</t>
  </si>
  <si>
    <t>2604123</t>
  </si>
  <si>
    <t>Morawica</t>
  </si>
  <si>
    <t>2613032</t>
  </si>
  <si>
    <t>Moskorzew</t>
  </si>
  <si>
    <t>2602042</t>
  </si>
  <si>
    <t>Nagłowice</t>
  </si>
  <si>
    <t>2604132</t>
  </si>
  <si>
    <t>Nowa Słupia</t>
  </si>
  <si>
    <t>2601032</t>
  </si>
  <si>
    <t>Nowy Korczyn</t>
  </si>
  <si>
    <t>2609062</t>
  </si>
  <si>
    <t>Obrazów</t>
  </si>
  <si>
    <t>2602052</t>
  </si>
  <si>
    <t>Oksa</t>
  </si>
  <si>
    <t>2612032</t>
  </si>
  <si>
    <t>Oleśnica</t>
  </si>
  <si>
    <t>2603042</t>
  </si>
  <si>
    <t>Opatowiec</t>
  </si>
  <si>
    <t>2606043</t>
  </si>
  <si>
    <t>2612043</t>
  </si>
  <si>
    <t>Osiek</t>
  </si>
  <si>
    <t>2607011</t>
  </si>
  <si>
    <t>Ostrowiec Świętokrzyski</t>
  </si>
  <si>
    <t>2606053</t>
  </si>
  <si>
    <t>Ożarów</t>
  </si>
  <si>
    <t>2601042</t>
  </si>
  <si>
    <t>Pacanów</t>
  </si>
  <si>
    <t>2611042</t>
  </si>
  <si>
    <t>Pawłów</t>
  </si>
  <si>
    <t>2604142</t>
  </si>
  <si>
    <t>Piekoszów</t>
  </si>
  <si>
    <t>2604152</t>
  </si>
  <si>
    <t>Pierzchnica</t>
  </si>
  <si>
    <t>2608043</t>
  </si>
  <si>
    <t>Pińczów</t>
  </si>
  <si>
    <t>2612053</t>
  </si>
  <si>
    <t>Połaniec</t>
  </si>
  <si>
    <t>2613042</t>
  </si>
  <si>
    <t>Radków</t>
  </si>
  <si>
    <t>2605043</t>
  </si>
  <si>
    <t>Radoszyce</t>
  </si>
  <si>
    <t>2604162</t>
  </si>
  <si>
    <t>Raków</t>
  </si>
  <si>
    <t>2605052</t>
  </si>
  <si>
    <t>Ruda Maleniecka</t>
  </si>
  <si>
    <t>2612062</t>
  </si>
  <si>
    <t>Rytwiany</t>
  </si>
  <si>
    <t>2606062</t>
  </si>
  <si>
    <t>Sadowie</t>
  </si>
  <si>
    <t>2609072</t>
  </si>
  <si>
    <t>Samborzec</t>
  </si>
  <si>
    <t>2609011</t>
  </si>
  <si>
    <t>Sandomierz</t>
  </si>
  <si>
    <t>2613052</t>
  </si>
  <si>
    <t>Secemin</t>
  </si>
  <si>
    <t>2602063</t>
  </si>
  <si>
    <t>Sędziszów</t>
  </si>
  <si>
    <t>2604172</t>
  </si>
  <si>
    <t>Sitkówka-Nowiny</t>
  </si>
  <si>
    <t>2603053</t>
  </si>
  <si>
    <t>Skalbmierz</t>
  </si>
  <si>
    <t>2610042</t>
  </si>
  <si>
    <t>Skarżysko Kościelne</t>
  </si>
  <si>
    <t>2610011</t>
  </si>
  <si>
    <t>Skarżysko-Kamienna</t>
  </si>
  <si>
    <t>2602072</t>
  </si>
  <si>
    <t>Słupia</t>
  </si>
  <si>
    <t>2605062</t>
  </si>
  <si>
    <t>Słupia (Konecka)</t>
  </si>
  <si>
    <t>2605072</t>
  </si>
  <si>
    <t>Smyków</t>
  </si>
  <si>
    <t>2602082</t>
  </si>
  <si>
    <t>Sobków</t>
  </si>
  <si>
    <t>2601052</t>
  </si>
  <si>
    <t>Solec-Zdrój</t>
  </si>
  <si>
    <t>2611011</t>
  </si>
  <si>
    <t>Starachowice</t>
  </si>
  <si>
    <t>2612073</t>
  </si>
  <si>
    <t>Staszów</t>
  </si>
  <si>
    <t>2605083</t>
  </si>
  <si>
    <t>Stąporków</t>
  </si>
  <si>
    <t>2601063</t>
  </si>
  <si>
    <t>Stopnica</t>
  </si>
  <si>
    <t>2604182</t>
  </si>
  <si>
    <t>Strawczyn</t>
  </si>
  <si>
    <t>2610053</t>
  </si>
  <si>
    <t>Suchedniów</t>
  </si>
  <si>
    <t>2612082</t>
  </si>
  <si>
    <t>Szydłów</t>
  </si>
  <si>
    <t>2606072</t>
  </si>
  <si>
    <t>Tarłów</t>
  </si>
  <si>
    <t>2601072</t>
  </si>
  <si>
    <t>Tuczępy</t>
  </si>
  <si>
    <t>2607062</t>
  </si>
  <si>
    <t>Waśniów</t>
  </si>
  <si>
    <t>2611053</t>
  </si>
  <si>
    <t>Wąchock</t>
  </si>
  <si>
    <t>2609082</t>
  </si>
  <si>
    <t>Wilczyce</t>
  </si>
  <si>
    <t>2601083</t>
  </si>
  <si>
    <t>Wiślica</t>
  </si>
  <si>
    <t>2613063</t>
  </si>
  <si>
    <t>Włoszczowa</t>
  </si>
  <si>
    <t>2602092</t>
  </si>
  <si>
    <t>Wodzisław</t>
  </si>
  <si>
    <t>2606082</t>
  </si>
  <si>
    <t>Wojciechowice</t>
  </si>
  <si>
    <t>2604192</t>
  </si>
  <si>
    <t>Zagnańsk</t>
  </si>
  <si>
    <t>2609093</t>
  </si>
  <si>
    <t>Zawichost</t>
  </si>
  <si>
    <t>2608052</t>
  </si>
  <si>
    <t>Złota</t>
  </si>
  <si>
    <t>2661011</t>
  </si>
  <si>
    <t>Kielce</t>
  </si>
  <si>
    <t>kod powiatu</t>
  </si>
  <si>
    <t>nazwa powiatu</t>
  </si>
  <si>
    <t>ogółem</t>
  </si>
  <si>
    <t>2020</t>
  </si>
  <si>
    <t>2021</t>
  </si>
  <si>
    <t>2022</t>
  </si>
  <si>
    <t>2023</t>
  </si>
  <si>
    <t>2024</t>
  </si>
  <si>
    <t>2025</t>
  </si>
  <si>
    <t>2026</t>
  </si>
  <si>
    <t>wypełniają gminy</t>
  </si>
  <si>
    <t>*pole wymagane</t>
  </si>
  <si>
    <t>Rok sprawozdawczy*</t>
  </si>
  <si>
    <t>Numer służbowego telefonu osoby do kontaktu*</t>
  </si>
  <si>
    <t>Służbowy adres e-mail osoby do kontaktu*</t>
  </si>
  <si>
    <t>proszę wypełniać TYLKO pola zaznaczone na żółto</t>
  </si>
  <si>
    <t>pomoc</t>
  </si>
  <si>
    <t>kod gminy2</t>
  </si>
  <si>
    <t>kod powiatu2</t>
  </si>
  <si>
    <t>zadanie ZSO - wymagana powierzchnia, na której należy zmieić sposób ogrzewania [m2]</t>
  </si>
  <si>
    <t>KPP</t>
  </si>
  <si>
    <t>zadanie EE - wymagana liczba działań edukacyjnych w roku</t>
  </si>
  <si>
    <t>zadanie KPP - wymagana liczba kontroli w roku</t>
  </si>
  <si>
    <t>nazwa zadania</t>
  </si>
  <si>
    <t>Tabela 2. Sprawozdanie w zakresie działań edukacyjnych ujętych w harmonogramie realizacji POP</t>
  </si>
  <si>
    <t>wymagana liczba kampanii w roku</t>
  </si>
  <si>
    <t>liczba przeprowadzonych kampanii [szt.]</t>
  </si>
  <si>
    <t>liczba placówek oświatowych objętych edukacją ekologiczną [szt.]</t>
  </si>
  <si>
    <t>liczba przeprowadzonych akcji szkolnych [szt.]</t>
  </si>
  <si>
    <t>liczba przeprowadzonych konferencji [szt.]</t>
  </si>
  <si>
    <t>liczba osób objętych działaniami informacyjnymi i edukacyjnymi [szt.]</t>
  </si>
  <si>
    <t>podać liczbę liczbę placówek objętych działaniem opisanym w kolumnie 5</t>
  </si>
  <si>
    <t>podać liczbę przeprowadzonych akcji szkolnych opisanych w kolumnie 5</t>
  </si>
  <si>
    <t>podać liczbę przeprowadzonych konferencji opisanych w kolumnie 5</t>
  </si>
  <si>
    <t>podać szacunkową liczbę osob objetych działaniem opisanym w kolumnie 5</t>
  </si>
  <si>
    <t>SUMA</t>
  </si>
  <si>
    <r>
      <t>wskaźniki monitorowania postępu (wypełnić minimum jedno pole</t>
    </r>
    <r>
      <rPr>
        <b/>
        <sz val="9"/>
        <color rgb="FFFF0000"/>
        <rFont val="Calibri"/>
        <family val="2"/>
        <charset val="238"/>
      </rPr>
      <t>*</t>
    </r>
    <r>
      <rPr>
        <b/>
        <sz val="9"/>
        <color rgb="FF000000"/>
        <rFont val="Calibri"/>
        <family val="2"/>
        <charset val="238"/>
      </rPr>
      <t>)</t>
    </r>
  </si>
  <si>
    <t>Tabela 3. Sprawozdanie w zakresie podejmowanych działań kontrolnych w ramach realizacji POP i PDK</t>
  </si>
  <si>
    <t>wymagana liczba kontroli w roku</t>
  </si>
  <si>
    <t>suma przeprowadzonych kontroli</t>
  </si>
  <si>
    <t>liczba przeprowadzonych kontroli w zakresie przestrzegania zakazu spalania odpadów w urządzeniach nieprzeznaczonych do tego wraz z podaniem liczby popełnionych wykroczeń, udzielonych pouczeń, wystawionych mandatów, spraw skierowanych do sądu [szt.]</t>
  </si>
  <si>
    <t>liczba przeprowadzonych kontroli w zakresie przestrzegania wymagań określonych w uchwale, o której mowa w art. 96 ustawy z dnia 27 kwietnia 2001 r. – Prawo ochrony środowiska, wraz z podaniem liczby popełnionych wykroczeń, udzielonych pouczeń, wystawionych mandatów oraz spraw skierowanych do sądu [szt.]</t>
  </si>
  <si>
    <t>w_WK_eco</t>
  </si>
  <si>
    <t>zmiana starego kotła na nowy kocioł węglowy ekoprojekt</t>
  </si>
  <si>
    <t>w_WK_eco_b</t>
  </si>
  <si>
    <t>zmiana starego kotła na nowy kocioł na biomasę ekoprojekt</t>
  </si>
  <si>
    <t>termo+WK_eco</t>
  </si>
  <si>
    <t>termomodernizacja i zmiana kotła - węglowy ekoprojekt</t>
  </si>
  <si>
    <t>termo+WK_eco_b</t>
  </si>
  <si>
    <t>termomodernizacja i zmiana kotła - na biomasę ekoprojekt</t>
  </si>
  <si>
    <t>termomodernizacja i zmiana paliwa na gazowe</t>
  </si>
  <si>
    <t>termomodernizacja i zmiana paliwa na olejowe</t>
  </si>
  <si>
    <r>
      <t>[g PM10/(m</t>
    </r>
    <r>
      <rPr>
        <b/>
        <vertAlign val="superscript"/>
        <sz val="9"/>
        <color theme="1"/>
        <rFont val="Calibri"/>
        <family val="2"/>
        <charset val="238"/>
      </rPr>
      <t>2</t>
    </r>
    <r>
      <rPr>
        <b/>
        <sz val="9"/>
        <color theme="1"/>
        <rFont val="Calibri"/>
        <family val="2"/>
        <charset val="238"/>
      </rPr>
      <t>×rok)]</t>
    </r>
  </si>
  <si>
    <r>
      <t>[g PM2,5/(m</t>
    </r>
    <r>
      <rPr>
        <b/>
        <vertAlign val="superscript"/>
        <sz val="9"/>
        <color theme="1"/>
        <rFont val="Calibri"/>
        <family val="2"/>
        <charset val="238"/>
      </rPr>
      <t>2</t>
    </r>
    <r>
      <rPr>
        <b/>
        <sz val="9"/>
        <color theme="1"/>
        <rFont val="Calibri"/>
        <family val="2"/>
        <charset val="238"/>
      </rPr>
      <t>×rok)]</t>
    </r>
  </si>
  <si>
    <t>liczba kontrli</t>
  </si>
  <si>
    <t>wykryte wykroczenia</t>
  </si>
  <si>
    <t>pouczenia</t>
  </si>
  <si>
    <t>mandaty</t>
  </si>
  <si>
    <t>sprawy skierowane do sądu</t>
  </si>
  <si>
    <t>podać liczbę wszystkich przeprowadzonych kontroli instalacji</t>
  </si>
  <si>
    <t>w tym liczba wykrytych w czasie kontroli wykroczeń</t>
  </si>
  <si>
    <t>w tym liczba udzielonych w czasie kontroli pouczeń</t>
  </si>
  <si>
    <t>w tym liczba wystawionych w czasie kontroli mandatów</t>
  </si>
  <si>
    <t>w tym liczba spraw skierowanych do sądu</t>
  </si>
  <si>
    <t>rodzaj konroli</t>
  </si>
  <si>
    <t>proszę wybrać z listy:
kontrole rutynowe,
kontrole w trakcie PDK (Poziom II lub III)</t>
  </si>
  <si>
    <t>data obowiązywania Poziomu II lub III PDK</t>
  </si>
  <si>
    <t>(rrrr-mm-dd)</t>
  </si>
  <si>
    <t>Nazwa jednostki lub organizacji przygotowujacej sprawozdanie</t>
  </si>
  <si>
    <r>
      <t xml:space="preserve">wskaźniki monitorowania postępu </t>
    </r>
    <r>
      <rPr>
        <b/>
        <sz val="9"/>
        <color rgb="FFFF0000"/>
        <rFont val="Calibri"/>
        <family val="2"/>
        <charset val="238"/>
      </rPr>
      <t>*</t>
    </r>
  </si>
  <si>
    <t>liczba wybudowanych km dróg [km]</t>
  </si>
  <si>
    <t>podać liczbę km dróg</t>
  </si>
  <si>
    <t>numer drogi</t>
  </si>
  <si>
    <t>podać numer drogi</t>
  </si>
  <si>
    <t>rok sprawozdawczy</t>
  </si>
  <si>
    <t>wskaźniki monitorowanie zadania ZSO</t>
  </si>
  <si>
    <t>wskaźniki efektu</t>
  </si>
  <si>
    <t>liczba i powierzchnia budynków, w tym jednorodzinnych i wielorodzinnych, w których zlikwidowano nieefektywne indywidulne źródło ciepła na paliwa stałe i podłączono do sieci ciepłowniczej</t>
  </si>
  <si>
    <t>liczba i powierzchnia budynków, w tym jednorodzinnych i wielorodzinnych, w których nieefektywne indywidulne źródło ciepła na paliwa stałe zastąpiono ogrzewaniem gazowym</t>
  </si>
  <si>
    <t>liczba i powierzchnia budynków, w tym jednorodzinnych i wielorodzinnych, w których nieefektywne indywidulne źródło ciepła na paliwa stałe zastąpiono odnawialnym źródłem energii</t>
  </si>
  <si>
    <t>liczba i powierzchnia budynków, w tym jednorodzinnych i wielorodzinnych, w których nieefektywne indywidulne źródło ciepła na paliwa stałe zastąpiono kotłem węglowym spełniającym wymagania ekoprojektu</t>
  </si>
  <si>
    <t>liczba i powierzchnia budynków, w tym jednorodzinnych i wielorodzinnych, w których nieefektywne indywidulne źródło ciepła na paliwa stałe zastąpiono kotłem na biomasę spełniającym wymagania ekoprojektu</t>
  </si>
  <si>
    <t>liczba i powierzchnia budynków, w tym jednorodzinnych i wielorodzinnych, w których nieefektywne indywidulne źródło ciepła na paliwa stałe zastąpiono ogrzewaniem elektrycznym</t>
  </si>
  <si>
    <t>liczba i powierzchnia budynków, w tym jednorodzinnych i wielorodzinnych, w których nieefektywne indywidulne źródło ciepła na paliwa stałe zastąpiono ogrzewaniem olejowym</t>
  </si>
  <si>
    <t>liczba i powierzchnia budynków, w tym jednorodzinnych i wielorodzinnych, w których zlikwidowano nieefektywne indywidulne źródło ciepła na paliwa stałe i podłączono do sieci ciepłowniczej oraz przeprowadzono termomodernizację</t>
  </si>
  <si>
    <t>liczba i powierzchnia budynków, w tym jednorodzinnych i wielorodzinnych, w których nieefektywne indywidulne źródło ciepła na paliwa stałe zastąpiono ogrzewaniem gazowym oraz przeprowadzono termomodernizację</t>
  </si>
  <si>
    <t>liczba i powierzchnia budynków, w tym jednorodzinnych i wielorodzinnych, w których nieefektywne indywidulne źródło ciepła na paliwa stałe zastąpiono odnawialnym źródłem energii oraz przeprowadzono termomodernizację</t>
  </si>
  <si>
    <t>liczba i powierzchnia budynków, w tym jednorodzinnych i wielorodzinnych, w których nieefektywne indywidulne źródło ciepła na paliwa stałe zastąpiono kotłem węglowym spełniającym wymagania ekoprojektu oraz przeprowadzono termomodernizację</t>
  </si>
  <si>
    <t>liczba i powierzchnia budynków, w tym jednorodzinnych i wielorodzinnych, w których nieefektywne indywidulne źródło ciepła na paliwa stałe zastąpiono kotłem na biomasę spełniającym wymagania ekoprojektu oraz przeprowadzono termomodernizację</t>
  </si>
  <si>
    <t>liczba i powierzchnia budynków, w tym jednorodzinnych i wielorodzinnych, w których nieefektywne indywidulne źródło ciepła na paliwa stałe zastąpiono ogrzewaniem elektrycznym oraz przeprowadzono termomodernizację</t>
  </si>
  <si>
    <t>liczba i powierzchnia budynków, w tym jednorodzinnych i wielorodzinnych, w których nieefektywne indywidulne źródło ciepła na paliwa stałe zastąpiono ogrzewaniem olejowym oraz przeprowadzono termomodernizację</t>
  </si>
  <si>
    <t>wskaźniki do tab.1_ZSO</t>
  </si>
  <si>
    <t>liczba i powierzchnia budynków, w tym jednorodzinnych i wielorodzinnych, w których nieefektywne indywidulne źródło ciepła na paliwa stałe</t>
  </si>
  <si>
    <t>zlikwidowano i podłączono do sieci ciepłowniczej</t>
  </si>
  <si>
    <t>zastąpiono ogrzewaniem gazowym</t>
  </si>
  <si>
    <t>zastąpiono odnawialnym źródłem energii</t>
  </si>
  <si>
    <t>zastąpiono kotłem węglowym spełniającym wymagania ekoprojektu</t>
  </si>
  <si>
    <t>zastąpiono kotłem na biomasę spełniającym wymagania ekoprojektu</t>
  </si>
  <si>
    <t>zastąpiono ogrzewaniem elektrycznym</t>
  </si>
  <si>
    <t>zastąpiono ogrzewaniem olejowym</t>
  </si>
  <si>
    <t>zlikwidowano i podłączono do sieci ciepłowniczej oraz przeprowadzono termomodernizację</t>
  </si>
  <si>
    <t>zastąpiono ogrzewaniem gazowym oraz przeprowadzono termomodernizację</t>
  </si>
  <si>
    <t>zastąpiono odnawialnym źródłem energii oraz przeprowadzono termomodernizację</t>
  </si>
  <si>
    <t>zastąpiono kotłem węglowym spełniającym wymagania ekoprojektu oraz przeprowadzono termomodernizację</t>
  </si>
  <si>
    <t>zastąpiono kotłem na biomasę spełniającym wymagania ekoprojektu oraz przeprowadzono termomodernizację</t>
  </si>
  <si>
    <t>zastąpiono ogrzewaniem elektrycznym oraz przeprowadzono termomodernizację</t>
  </si>
  <si>
    <t>zastąpiono ogrzewaniem olejowym oraz przeprowadzono termomodernizację</t>
  </si>
  <si>
    <t>podać miejscowość lub osiedle w gminach miejskich, gdzie zostało przeprowadzone działanie naprawcze</t>
  </si>
  <si>
    <t>wskaźnik konitorowania postępu</t>
  </si>
  <si>
    <t>liczba kotłów [szt.]</t>
  </si>
  <si>
    <t>proszę wybrać wskaźnik z listy rozwijanej</t>
  </si>
  <si>
    <t>zestaw wsk_efektu</t>
  </si>
  <si>
    <r>
      <t>koszty łącznie [zł]</t>
    </r>
    <r>
      <rPr>
        <b/>
        <sz val="9"/>
        <color rgb="FFFF0000"/>
        <rFont val="Calibri"/>
        <family val="2"/>
        <charset val="238"/>
      </rPr>
      <t>*</t>
    </r>
  </si>
  <si>
    <t>w tym wysokość uzyskanego dofinansowania zewnętrznego [zł]</t>
  </si>
  <si>
    <t>kod_efektu</t>
  </si>
  <si>
    <t>BaP</t>
  </si>
  <si>
    <r>
      <t>[g B(a)P/(m</t>
    </r>
    <r>
      <rPr>
        <b/>
        <vertAlign val="superscript"/>
        <sz val="9"/>
        <color theme="1"/>
        <rFont val="Calibri"/>
        <family val="2"/>
        <charset val="238"/>
      </rPr>
      <t>2</t>
    </r>
    <r>
      <rPr>
        <b/>
        <sz val="9"/>
        <color theme="1"/>
        <rFont val="Calibri"/>
        <family val="2"/>
        <charset val="238"/>
      </rPr>
      <t>×rok)]</t>
    </r>
  </si>
  <si>
    <t>opis</t>
  </si>
  <si>
    <t>osiągnięty efekt redkcji emisji [kg/rok]</t>
  </si>
  <si>
    <t>Tabela 1. Sprawozdanie w zakresie działań ograniczających emisję z instalacji o małej mocy do 1 MW ujętych w harmonogramie realizacji POP</t>
  </si>
  <si>
    <t>1. Ogólne</t>
  </si>
  <si>
    <t>2. Link do strony internetowej, na której został zamieszczony plan działań krótkoterminowych</t>
  </si>
  <si>
    <t>Pole tekstowe</t>
  </si>
  <si>
    <t>Jeśli tak, proszę podać szczegóły</t>
  </si>
  <si>
    <t>Tekst – maksymalnie 600 znaków</t>
  </si>
  <si>
    <t>3. Proszę opisać wszystkie aspekty wdrażania planu oraz dodać swoje uwagi i doświadczenia</t>
  </si>
  <si>
    <t>5. Plany działań krótkoterminowych: udostępnienie informacji do publicznej wiadomości:</t>
  </si>
  <si>
    <t>5.2. Link do strony internetowej, na której została zamieszczona informacja</t>
  </si>
  <si>
    <t>Tekst - maksymalnie 600 znaków</t>
  </si>
  <si>
    <t>6. Plany działań krótkoterminowych: wpływ</t>
  </si>
  <si>
    <t>6.1. Proszę podać informację na temat wpływu i skuteczności podjętych działań przez sektory</t>
  </si>
  <si>
    <t>6.2. Jakie działania zostały uznane za najbardziej skuteczne? Proszę opisać te działania i wyjaśnić dlaczego</t>
  </si>
  <si>
    <t>7. Pozostałe problemy</t>
  </si>
  <si>
    <t>8. Uwagi</t>
  </si>
  <si>
    <t>Tekst</t>
  </si>
  <si>
    <t>opis pól</t>
  </si>
  <si>
    <t>Tekst – maksymalnie 600 znaków, jeżeli w punkcie 4 zaznaczono „Tak”.</t>
  </si>
  <si>
    <t>Tab. 5. Sprawozdanie z realizacji planu działań krótkoterminowych</t>
  </si>
  <si>
    <t>Należy zaznaczyć prawidłową odpowiedź.</t>
  </si>
  <si>
    <r>
      <t>liczba i powierzchnia budynków, w tym jednorodzinnych i wielorodzinnych, w których nieefektywne indywidulne źródło ciepła na paliwa stałe</t>
    </r>
    <r>
      <rPr>
        <b/>
        <sz val="9"/>
        <color rgb="FFFF0000"/>
        <rFont val="Calibri"/>
        <family val="2"/>
        <charset val="238"/>
      </rPr>
      <t>*</t>
    </r>
  </si>
  <si>
    <t>proszę podać łączną liczbę zlikwidowanych lub zmienionych kotłów wskazanych w kolumnie 8</t>
  </si>
  <si>
    <t>proszę podać łączną powierzchnię lokali, budynków, na której przeprowadzono zmiany wskazane w kolumnie 8</t>
  </si>
  <si>
    <r>
      <t>gmina</t>
    </r>
    <r>
      <rPr>
        <b/>
        <sz val="9"/>
        <color rgb="FFFF0000"/>
        <rFont val="Calibri"/>
        <family val="2"/>
        <charset val="238"/>
      </rPr>
      <t>*</t>
    </r>
  </si>
  <si>
    <t>p1</t>
  </si>
  <si>
    <t>p2</t>
  </si>
  <si>
    <t>p3</t>
  </si>
  <si>
    <r>
      <t>wymagana powierzchnia w roku sprawozdawczym w gminie [m</t>
    </r>
    <r>
      <rPr>
        <b/>
        <vertAlign val="superscript"/>
        <sz val="11"/>
        <color rgb="FFC00000"/>
        <rFont val="Calibri"/>
        <family val="2"/>
        <charset val="238"/>
      </rPr>
      <t>2</t>
    </r>
    <r>
      <rPr>
        <b/>
        <sz val="11"/>
        <color rgb="FFC00000"/>
        <rFont val="Calibri"/>
        <family val="2"/>
        <charset val="238"/>
      </rPr>
      <t>]</t>
    </r>
  </si>
  <si>
    <r>
      <t>wymagana powierzchnia w roku sprawozdawczym w powiecie [m</t>
    </r>
    <r>
      <rPr>
        <b/>
        <vertAlign val="superscript"/>
        <sz val="11"/>
        <color rgb="FFC00000"/>
        <rFont val="Calibri"/>
        <family val="2"/>
        <charset val="238"/>
      </rPr>
      <t>2</t>
    </r>
    <r>
      <rPr>
        <b/>
        <sz val="11"/>
        <color rgb="FFC00000"/>
        <rFont val="Calibri"/>
        <family val="2"/>
        <charset val="238"/>
      </rPr>
      <t>]</t>
    </r>
  </si>
  <si>
    <r>
      <t>efekt rzeczowy [m</t>
    </r>
    <r>
      <rPr>
        <b/>
        <vertAlign val="superscript"/>
        <sz val="11"/>
        <color rgb="FFC00000"/>
        <rFont val="Calibri"/>
        <family val="2"/>
        <charset val="238"/>
      </rPr>
      <t>2</t>
    </r>
    <r>
      <rPr>
        <b/>
        <sz val="11"/>
        <color rgb="FFC00000"/>
        <rFont val="Calibri"/>
        <family val="2"/>
        <charset val="238"/>
      </rPr>
      <t>]</t>
    </r>
  </si>
  <si>
    <t>nie dotyczy</t>
  </si>
  <si>
    <t>wypełnia się automatycznie dla gminy podanej w kolumnie 2</t>
  </si>
  <si>
    <r>
      <t>wymagana powierzchnia [m</t>
    </r>
    <r>
      <rPr>
        <b/>
        <vertAlign val="superscript"/>
        <sz val="9"/>
        <color rgb="FF000000"/>
        <rFont val="Calibri"/>
        <family val="2"/>
        <charset val="238"/>
      </rPr>
      <t>2</t>
    </r>
    <r>
      <rPr>
        <b/>
        <sz val="9"/>
        <color rgb="FF000000"/>
        <rFont val="Calibri"/>
        <family val="2"/>
        <charset val="238"/>
      </rPr>
      <t>]</t>
    </r>
  </si>
  <si>
    <t>wymagany efekt rzeczowy w wybranym roku sprawozdawczym dla wybranej GMINY</t>
  </si>
  <si>
    <t>informacje szczegółowe o realizacji zadań EE przez gminy</t>
  </si>
  <si>
    <t>informacje szczegółowe o realizacji zadań KPP przez gminy</t>
  </si>
  <si>
    <t>tab.1_ZSO_gminy</t>
  </si>
  <si>
    <t>tab.1_ZSO_powiaty</t>
  </si>
  <si>
    <t>tab.2_EE_gminy</t>
  </si>
  <si>
    <t>tab.3_KPP</t>
  </si>
  <si>
    <t>Opis - wypełniają GMINY</t>
  </si>
  <si>
    <t>Opis - wypełniają STAROSTWA POWIATOWE</t>
  </si>
  <si>
    <t>tab.5_PDK</t>
  </si>
  <si>
    <t>informacje szczegółowe o PDK</t>
  </si>
  <si>
    <t>liczba dni w roku z informacją o wystąpieniu na terenie gminy POZIOMU II PDK*</t>
  </si>
  <si>
    <t>liczba dni w roku z informacją o wystąpieniu na terenie gminy POZIOMU III PDK*</t>
  </si>
  <si>
    <t>tab.2_EE_org</t>
  </si>
  <si>
    <t>tab.4_BDO</t>
  </si>
  <si>
    <t>informacje szczegółowe o realizacji zadań edukacyjnych (EE) przez organizacje</t>
  </si>
  <si>
    <t>Arkusz służy do przygotowania rocznego sprawozdania z realizacji Programu ochrony powietrza dla wojewódtwa świętokrzyskiego wraz z planem działań krótkoterminowych</t>
  </si>
  <si>
    <t>Arkusz wypełniają:</t>
  </si>
  <si>
    <t>gminy i powiaty</t>
  </si>
  <si>
    <t>tabela_informacyjna_dla_JST</t>
  </si>
  <si>
    <t>1) jednostki samorządu terytorialnego</t>
  </si>
  <si>
    <t>informacje szczegółowe o realizacji zadań budowy dróg (BDO) przez zarządców dróg</t>
  </si>
  <si>
    <t>tabela_informacyjna_dla_innych</t>
  </si>
  <si>
    <t>infrmacje ogólne - wypełniane przez JST</t>
  </si>
  <si>
    <r>
      <rPr>
        <b/>
        <sz val="11"/>
        <color rgb="FFFF0000"/>
        <rFont val="Calibri"/>
        <family val="2"/>
        <charset val="238"/>
      </rPr>
      <t>*</t>
    </r>
    <r>
      <rPr>
        <b/>
        <sz val="11"/>
        <rFont val="Calibri"/>
        <family val="2"/>
        <charset val="238"/>
      </rPr>
      <t xml:space="preserve"> pole wymagane</t>
    </r>
  </si>
  <si>
    <t>wypełnia się automatycznie stosownie do wpisanej w kolumnie 2 gminy</t>
  </si>
  <si>
    <t>proszę podać datę obowiązywania Poziom II lub Poziom III PDK</t>
  </si>
  <si>
    <t>proszę wybrać z listy rozwijanej gminę, na terenie której prowadzono działania</t>
  </si>
  <si>
    <t>Opis - wypełniają zarządcy dróg</t>
  </si>
  <si>
    <t>wypełniają zarządcy dróg</t>
  </si>
  <si>
    <r>
      <t xml:space="preserve">informacje szczegółowe o realizacji zadań ZSO </t>
    </r>
    <r>
      <rPr>
        <b/>
        <sz val="11"/>
        <rFont val="Calibri"/>
        <family val="2"/>
        <charset val="238"/>
      </rPr>
      <t>przez gminy</t>
    </r>
  </si>
  <si>
    <r>
      <t xml:space="preserve">informacje szczegółowe o realizacji zadań ZSO </t>
    </r>
    <r>
      <rPr>
        <b/>
        <sz val="11"/>
        <rFont val="Calibri"/>
        <family val="2"/>
        <charset val="238"/>
      </rPr>
      <t>przez starostwa powiatowe</t>
    </r>
  </si>
  <si>
    <t>proszę wybrać z listy rozwijanej powiat, na terenie którego wybudowano drogę</t>
  </si>
  <si>
    <t>Opis - wypełniają organizacje lub jednostki prowadzące edukację</t>
  </si>
  <si>
    <t>wypełniają prowadzący edukację</t>
  </si>
  <si>
    <t>tab.1_ZSO_zarządcy</t>
  </si>
  <si>
    <t>informacje szczegółowe o realizacji zadań związanych z ograniczeniem emisji z sektora komunalno-bytowego (ZSO) przez właścicieli lub zarządzających nieruchomościami, budynkami, lokalami</t>
  </si>
  <si>
    <t>wypełnia się automatycznie, zgodnie z informacyjną o gminie (kolumna 2)</t>
  </si>
  <si>
    <t>Imię i nazwisko osoby do kontaktu*</t>
  </si>
  <si>
    <t>Powiat lub miasta na prawach powiatu</t>
  </si>
  <si>
    <t>wypełniają powiaty</t>
  </si>
  <si>
    <r>
      <t>powierzchnia [m</t>
    </r>
    <r>
      <rPr>
        <b/>
        <vertAlign val="superscript"/>
        <sz val="9"/>
        <color rgb="FF000000"/>
        <rFont val="Calibri"/>
        <family val="2"/>
        <charset val="238"/>
      </rPr>
      <t>2</t>
    </r>
    <r>
      <rPr>
        <b/>
        <sz val="9"/>
        <color rgb="FF000000"/>
        <rFont val="Calibri"/>
        <family val="2"/>
        <charset val="238"/>
      </rPr>
      <t>]</t>
    </r>
    <r>
      <rPr>
        <b/>
        <sz val="9"/>
        <color rgb="FFFF0000"/>
        <rFont val="Calibri"/>
        <family val="2"/>
        <charset val="238"/>
      </rPr>
      <t>*</t>
    </r>
  </si>
  <si>
    <r>
      <t>wymagany efekt rzeczowy w gminie powierzchnia ogółem [m</t>
    </r>
    <r>
      <rPr>
        <b/>
        <vertAlign val="superscript"/>
        <sz val="11"/>
        <color rgb="FFC00000"/>
        <rFont val="Calibri"/>
        <family val="2"/>
        <charset val="238"/>
      </rPr>
      <t>2</t>
    </r>
    <r>
      <rPr>
        <b/>
        <sz val="11"/>
        <color rgb="FFC00000"/>
        <rFont val="Calibri"/>
        <family val="2"/>
        <charset val="238"/>
      </rPr>
      <t>]</t>
    </r>
  </si>
  <si>
    <r>
      <t>wymagany efekt rzeczowy w powiecie powierzchnia ogółem [m</t>
    </r>
    <r>
      <rPr>
        <b/>
        <vertAlign val="superscript"/>
        <sz val="11"/>
        <color rgb="FFC00000"/>
        <rFont val="Calibri"/>
        <family val="2"/>
        <charset val="238"/>
      </rPr>
      <t>2</t>
    </r>
    <r>
      <rPr>
        <b/>
        <sz val="11"/>
        <color rgb="FFC00000"/>
        <rFont val="Calibri"/>
        <family val="2"/>
        <charset val="238"/>
      </rPr>
      <t>]</t>
    </r>
  </si>
  <si>
    <r>
      <t>wskaźniki monitorowania postępu (wypełnić minimum jeden obszar: zielony lub pomarańczowy</t>
    </r>
    <r>
      <rPr>
        <b/>
        <sz val="9"/>
        <color rgb="FFFF0000"/>
        <rFont val="Calibri"/>
        <family val="2"/>
        <charset val="238"/>
      </rPr>
      <t>*</t>
    </r>
    <r>
      <rPr>
        <b/>
        <sz val="9"/>
        <color rgb="FF000000"/>
        <rFont val="Calibri"/>
        <family val="2"/>
        <charset val="238"/>
      </rPr>
      <t>)</t>
    </r>
  </si>
  <si>
    <t>Tabela 4. Sprawozdanie z realizacji zadań związanych z budową obwodnic miast ujętych w harmonogramie realizacji POP</t>
  </si>
  <si>
    <r>
      <t xml:space="preserve">opisać prowadzone w ramach realizacji POP działania
</t>
    </r>
    <r>
      <rPr>
        <b/>
        <i/>
        <sz val="8"/>
        <color rgb="FFFF0000"/>
        <rFont val="Calibri"/>
        <family val="2"/>
        <charset val="238"/>
      </rPr>
      <t>(do sprawozdania z POP mogą być podawane inwestycje związane tylko z budową obwodnic miast)</t>
    </r>
  </si>
  <si>
    <t>Prowadzenie działań promocyjnych i edukacyjnych (ulotki, imprezy, akcje szkolne, audycje, konferencje) oraz informacyjnych i szkoleniowych</t>
  </si>
  <si>
    <t>wskazać źródła finansowania działania, wskazując wysokość dofinansowania</t>
  </si>
  <si>
    <t>3) organizacje</t>
  </si>
  <si>
    <t>4) zarządcy dróg</t>
  </si>
  <si>
    <t>2) zarządzający nieruchomościamu, budynkami lub lokalami</t>
  </si>
  <si>
    <t>wypełniają zarządzający i właściciele nieruchomości</t>
  </si>
  <si>
    <t>infrmacje ogólne - część wypełniana przez organizacje</t>
  </si>
  <si>
    <t>infrmacje ogólne - część wypełniana przez zarządców dróg</t>
  </si>
  <si>
    <t>infrmacje ogólne - część wypełniana przez zarządzających nieruchomościami, budynkami lub lokalami</t>
  </si>
  <si>
    <r>
      <t xml:space="preserve">informacje szczegółowe o realizacji zadań ZSO </t>
    </r>
    <r>
      <rPr>
        <b/>
        <sz val="11"/>
        <rFont val="Calibri"/>
        <family val="2"/>
        <charset val="238"/>
      </rPr>
      <t>przez powiaty</t>
    </r>
  </si>
  <si>
    <r>
      <t xml:space="preserve">informacje szczegółowe o realizacji zadań ZSO </t>
    </r>
    <r>
      <rPr>
        <b/>
        <sz val="11"/>
        <rFont val="Calibri"/>
        <family val="2"/>
        <charset val="238"/>
      </rPr>
      <t>przez zarządzających</t>
    </r>
  </si>
  <si>
    <t>gminy wybraneg powiatu</t>
  </si>
  <si>
    <t>p4</t>
  </si>
  <si>
    <t>Należy zaznaczyć JEDNĄ prawidłową odpowiedź.</t>
  </si>
  <si>
    <t>2.1. Czy były stwierdzone przekroczenia poziomów alarmowych (zwanych dalej „PA”) lub istotne przekroczenia (ponad 200%) poziomów dopuszczalnych (zwanych dalej „PD”) lub docelowych (zwanych dalej „PDC”) w danym roku sprawozdawczym - w przypadku sprawozdania okresowego oraz w ciągu ostatnich trzech lat - w przypadku sprawozdania końcowego?</t>
  </si>
  <si>
    <t>Tekst – maksymalnie 400 znaków</t>
  </si>
  <si>
    <t>4. Czy uruchomiono działania określone planem działań krótkoterminowych?</t>
  </si>
  <si>
    <t>4.1. Jeżeli tak, to jak często i w jakich sytuacjach? Proszę opisać</t>
  </si>
  <si>
    <t>5.1. Czy informacje o uruchomieniu działań określonych planem były podawane do publicznej wiadomości?</t>
  </si>
  <si>
    <t>5.3. Proszę opisać ogólną strategię udostępniania informacji, w tym podstawowym grupom zainteresowanych stron</t>
  </si>
  <si>
    <t>6.3. Proszę podać linki do raportów lub odniesienia do innych dokumentów wykorzystane do przygotowania sprawozdania z planu działań krótkoterminowych (np. linki do stron internetowych, na których zamieszczane były komunikaty)</t>
  </si>
  <si>
    <t>Tabela dotyczy miasta Kielce oraz gmin miejskich i miejsko-wiejskich</t>
  </si>
  <si>
    <t>Powiaty</t>
  </si>
  <si>
    <t>1. jednostki samorządu terytorialnego - na adres ePUAP Urzędu Marszałkowskiego Województwa Świętokrzyskiego</t>
  </si>
  <si>
    <t>2. pozostałe podmioty - na adres mailowy anna.hynek@sejmik.kielce.pl</t>
  </si>
  <si>
    <t>Gmina/Powiat*</t>
  </si>
  <si>
    <t>* pole wymagane</t>
  </si>
  <si>
    <t>miasto</t>
  </si>
  <si>
    <t>zgodnie z uchwałą Nr XXII/291/20 Sejmiku Województwa Świetokrzyskiego z dnia 29 czerwca 2020 roku</t>
  </si>
  <si>
    <r>
      <t xml:space="preserve">Wypełniony arkusz sprawozdawczy należy przesłać w formie edytowalnej </t>
    </r>
    <r>
      <rPr>
        <b/>
        <sz val="12"/>
        <color rgb="FFC00000"/>
        <rFont val="Calibri"/>
        <family val="2"/>
        <charset val="238"/>
      </rPr>
      <t>do 15 lutego każdego roku:</t>
    </r>
  </si>
  <si>
    <t>Nazwa jednostki lub organizacji przygotowującej sprawozdanie</t>
  </si>
  <si>
    <t>25-516 Kielce, aleja IX Wieków Kielc 3</t>
  </si>
  <si>
    <r>
      <t xml:space="preserve">Obszar gminy, na którym jednostka podejmowała działania </t>
    </r>
    <r>
      <rPr>
        <sz val="9"/>
        <color rgb="FFFF0000"/>
        <rFont val="Calibri"/>
        <family val="2"/>
        <charset val="238"/>
      </rPr>
      <t>* (dla prowadzących edukację)</t>
    </r>
  </si>
  <si>
    <t>Olga Haber</t>
  </si>
  <si>
    <t>41 373 13 48</t>
  </si>
  <si>
    <t>olga.haber@rudamaleniecka.pl</t>
  </si>
  <si>
    <t>wymiana źródła ciepła - pieca</t>
  </si>
  <si>
    <t>Gmina Ruda Maleniecka</t>
  </si>
  <si>
    <t>WFOŚiGW w Kielcach</t>
  </si>
  <si>
    <t xml:space="preserve">Gmina Ruda Maleniecka to gmina wiejska. Na obszarze gminy jest mało przedsiębiorstw, nie ma dużych zakładów produkcyjnych i fabryk. Obszar charakteryzuje się małą gęstością zaludnienia, dużą ilością terenów zielonych oraz zbiorników wodnych. Gmina w swoich działaniach stara się ograniczać emisję zanieczyszczeń atmosferycznych. Aby ograniczyć emisję liniową gmina poprawia stan techniczny dróg poprzez ich modernizację. Istotne znaczenie ma również redukcja emisji powierzchniowej ze źródeł spalania paliw z pieców oraz kotłów w gospodarstwach domowych. Gmina realizuje "Program Czyste Powietrze" i stara się zwiększać świadomość społeczeństwa lokalnego aby osiągnąć efekt ekologiczny mający na celu poprawę jakości powietrza. Gmina prowadzi działania w zakresie termomodernizacji obiektów użyteczności publicznej. </t>
  </si>
  <si>
    <t xml:space="preserve">W roku 2022 Gmina Ruda Maleniecka zrealizowała następujące działania krótkoterminowe: dokonano inwestycji w obszrze infrastruktury drogowej, które przyczyniły  się do poprawy stanu technicznego dróg.  Budynek świtlicy gminnej został zmodernizowany oraz wyposażony w mikroinstalację fotowoltaiczną.  Źródła ciepła w wielu gospodarstwach domowych na terenie Gminy Ruda Maleniecka zostały zmienione na bardziej ekologiczne i efektywne energetycznie. </t>
  </si>
  <si>
    <t>Informacje udostępniane są na stronie Urzędu Gminy Ruda Maleniecka, na tablicach ogłoszeń. W budynku gminy prowadzone są konsultacje z mieszkańcami w sprawie wymiany nieefektywnych źródeł ciepła. Mieszkańcy  mogą za pośrednictwem gminy złożyć do Wojewódzkiego Funduszu Ochrony Środowiska i Gospodarki Wodnej w Kielcach, wniosek i załatwić wszelkie formalności związane z Programem Czyste Powietrze.</t>
  </si>
  <si>
    <t>Świadomość mieszkańców gminy na temat ochrony środowiska zaczyna się zwiększać. Wszelkie działania jakie realizuje gmina przynoszą pozytywne rezultaty.</t>
  </si>
  <si>
    <t>Wszelkie działania jakie podejmuje gmina są bardzo ważne i istotne gdyż przyczyniają się do osiągnięcia pozytywnego efektu ekologicznego. Wymiana źódeł ciepła przez mieszkańców gminy również jest istotna i przyczyni się do stopniowych i pozytywnych zmian w przyszłości.</t>
  </si>
  <si>
    <t>Brak</t>
  </si>
  <si>
    <t>https://samorzad.gov.pl/web/gmina-ruda-maleniecka/program-ochrony-powietrza-dla-wojewodztwa-swietokrzyskiego</t>
  </si>
  <si>
    <t>Do sporządzenia sprawozdania wykorzystano: Raport z Programu Ochrony Środowiska (dane dotyczące wymiany źródeł ciepła), informacje z Urzędu Gminy z działu Budownictwo i inwestycje dotyczące zrealizownych inwestycji , dane od jednostek organizacyjnych tj. z Publicznego Zakładu Opieki Zdrowotnej.</t>
  </si>
  <si>
    <t>Publiczny Zakład Opieki Zdrowotnej w Rudzie Malenieckiej</t>
  </si>
  <si>
    <t>Helena Balińska</t>
  </si>
  <si>
    <t>Zamieszczanie informacji dotyczącej Programu Czyste Powietrze na stronie internetowej Urzędu Gminy</t>
  </si>
  <si>
    <t>Broszury, ulotki dotyczące Programu Czyste Powietrze oraz niekorzystego wpływu smogu</t>
  </si>
  <si>
    <t>Spotkania informacyjne (pogadanki z dziećmi)plakaty oraz ulotki znajdujące się w Publicznym Zakładzie Opieki Zdrowotnej dotyczące wpływu zanieczyszczonego powietrza na zdrowie człowieka</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</si>
</sst>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 &quot;zł&quot;"/>
    <numFmt numFmtId="165" formatCode="#,##0.000"/>
    <numFmt numFmtId="166" formatCode="0.0"/>
    <numFmt numFmtId="167" formatCode="0.0000"/>
    <numFmt numFmtId="168" formatCode="#,##0.00000"/>
    <numFmt numFmtId="169" formatCode="0.000"/>
    <numFmt numFmtId="170" formatCode="yyyy\-mm\-dd;@"/>
  </numFmts>
  <fonts count="44" x14ac:knownFonts="1">
    <font>
      <sz val="10"/>
      <name val="Arial"/>
      <charset val="1"/>
    </font>
    <font>
      <b/>
      <sz val="9"/>
      <name val="Calibri"/>
      <family val="2"/>
      <charset val="238"/>
    </font>
    <font>
      <sz val="9"/>
      <name val="Calibri"/>
      <family val="2"/>
      <charset val="238"/>
    </font>
    <font>
      <sz val="9"/>
      <color theme="1"/>
      <name val="Calibri"/>
      <family val="2"/>
      <charset val="238"/>
    </font>
    <font>
      <b/>
      <sz val="9"/>
      <color theme="1"/>
      <name val="Calibri"/>
      <family val="2"/>
      <charset val="238"/>
    </font>
    <font>
      <sz val="10"/>
      <name val="Arial"/>
      <family val="2"/>
      <charset val="238"/>
    </font>
    <font>
      <b/>
      <sz val="9"/>
      <color rgb="FF000000"/>
      <name val="Calibri"/>
      <family val="2"/>
      <charset val="238"/>
    </font>
    <font>
      <b/>
      <i/>
      <sz val="9"/>
      <color rgb="FF000000"/>
      <name val="Calibri"/>
      <family val="2"/>
      <charset val="238"/>
    </font>
    <font>
      <sz val="9"/>
      <color rgb="FF000000"/>
      <name val="Calibri"/>
      <family val="2"/>
      <charset val="238"/>
    </font>
    <font>
      <b/>
      <i/>
      <sz val="8"/>
      <color rgb="FF000000"/>
      <name val="Calibri"/>
      <family val="2"/>
      <charset val="238"/>
    </font>
    <font>
      <sz val="10"/>
      <name val="Calibri"/>
      <family val="2"/>
      <charset val="238"/>
    </font>
    <font>
      <i/>
      <sz val="11"/>
      <color theme="1"/>
      <name val="Calibri"/>
      <family val="2"/>
      <charset val="238"/>
    </font>
    <font>
      <i/>
      <sz val="8"/>
      <color rgb="FF000000"/>
      <name val="Calibri"/>
      <family val="2"/>
      <charset val="238"/>
    </font>
    <font>
      <i/>
      <sz val="8"/>
      <color theme="1"/>
      <name val="Calibri"/>
      <family val="2"/>
      <charset val="238"/>
    </font>
    <font>
      <b/>
      <vertAlign val="superscript"/>
      <sz val="9"/>
      <color rgb="FF000000"/>
      <name val="Calibri"/>
      <family val="2"/>
      <charset val="238"/>
    </font>
    <font>
      <i/>
      <sz val="8"/>
      <color rgb="FF0000FF"/>
      <name val="Calibri"/>
      <family val="2"/>
      <charset val="238"/>
    </font>
    <font>
      <sz val="11"/>
      <color rgb="FF000000"/>
      <name val="Calibri"/>
      <family val="2"/>
      <charset val="238"/>
    </font>
    <font>
      <u/>
      <sz val="10"/>
      <color theme="10"/>
      <name val="Arial"/>
      <family val="2"/>
      <charset val="238"/>
    </font>
    <font>
      <sz val="9"/>
      <color rgb="FFFF0000"/>
      <name val="Calibri"/>
      <family val="2"/>
      <charset val="238"/>
    </font>
    <font>
      <b/>
      <sz val="9"/>
      <color rgb="FFFF0000"/>
      <name val="Calibri"/>
      <family val="2"/>
      <charset val="238"/>
    </font>
    <font>
      <b/>
      <vertAlign val="superscript"/>
      <sz val="9"/>
      <color theme="1"/>
      <name val="Calibri"/>
      <family val="2"/>
      <charset val="238"/>
    </font>
    <font>
      <b/>
      <sz val="11"/>
      <color rgb="FFC00000"/>
      <name val="Calibri"/>
      <family val="2"/>
      <charset val="238"/>
    </font>
    <font>
      <b/>
      <sz val="12"/>
      <color rgb="FFC00000"/>
      <name val="Calibri"/>
      <family val="2"/>
      <charset val="238"/>
    </font>
    <font>
      <sz val="8"/>
      <name val="Arial"/>
      <family val="2"/>
      <charset val="238"/>
    </font>
    <font>
      <sz val="8"/>
      <color theme="0" tint="-0.499984740745262"/>
      <name val="Calibri"/>
      <family val="2"/>
      <charset val="238"/>
    </font>
    <font>
      <sz val="8"/>
      <name val="Arial"/>
      <family val="2"/>
      <charset val="238"/>
    </font>
    <font>
      <b/>
      <sz val="12"/>
      <name val="Calibri"/>
      <family val="2"/>
      <charset val="238"/>
    </font>
    <font>
      <i/>
      <sz val="12"/>
      <color rgb="FF0000FF"/>
      <name val="Calibri"/>
      <family val="2"/>
      <charset val="238"/>
    </font>
    <font>
      <b/>
      <sz val="12"/>
      <color rgb="FFFF0000"/>
      <name val="Calibri"/>
      <family val="2"/>
      <charset val="238"/>
    </font>
    <font>
      <b/>
      <i/>
      <sz val="10"/>
      <color rgb="FFC00000"/>
      <name val="Calibri"/>
      <family val="2"/>
      <charset val="238"/>
    </font>
    <font>
      <b/>
      <sz val="16"/>
      <color rgb="FFC00000"/>
      <name val="Calibri"/>
      <family val="2"/>
      <charset val="238"/>
    </font>
    <font>
      <b/>
      <sz val="14"/>
      <color rgb="FFC00000"/>
      <name val="Calibri"/>
      <family val="2"/>
      <charset val="238"/>
    </font>
    <font>
      <b/>
      <vertAlign val="superscript"/>
      <sz val="11"/>
      <color rgb="FFC00000"/>
      <name val="Calibri"/>
      <family val="2"/>
      <charset val="238"/>
    </font>
    <font>
      <b/>
      <sz val="11"/>
      <name val="Calibri"/>
      <family val="2"/>
      <charset val="238"/>
    </font>
    <font>
      <sz val="8"/>
      <color rgb="FF000000"/>
      <name val="Segoe UI"/>
      <family val="2"/>
      <charset val="238"/>
    </font>
    <font>
      <sz val="9"/>
      <color rgb="FF00B0F0"/>
      <name val="Calibri"/>
      <family val="2"/>
      <charset val="238"/>
    </font>
    <font>
      <i/>
      <sz val="9"/>
      <color rgb="FF0000FF"/>
      <name val="Calibri"/>
      <family val="2"/>
      <charset val="238"/>
    </font>
    <font>
      <sz val="11"/>
      <name val="Calibri"/>
      <family val="2"/>
      <charset val="238"/>
    </font>
    <font>
      <b/>
      <u/>
      <sz val="10"/>
      <color theme="10"/>
      <name val="Arial"/>
      <family val="2"/>
      <charset val="238"/>
    </font>
    <font>
      <b/>
      <u/>
      <sz val="11"/>
      <color theme="10"/>
      <name val="Arial"/>
      <family val="2"/>
      <charset val="238"/>
    </font>
    <font>
      <b/>
      <sz val="10"/>
      <name val="Calibri"/>
      <family val="2"/>
      <charset val="238"/>
    </font>
    <font>
      <sz val="12"/>
      <name val="Calibri"/>
      <family val="2"/>
      <charset val="238"/>
    </font>
    <font>
      <b/>
      <sz val="11"/>
      <color rgb="FFFF0000"/>
      <name val="Calibri"/>
      <family val="2"/>
      <charset val="238"/>
    </font>
    <font>
      <b/>
      <i/>
      <sz val="8"/>
      <color rgb="FFFF0000"/>
      <name val="Calibri"/>
      <family val="2"/>
      <charset val="238"/>
    </font>
  </fonts>
  <fills count="14">
    <fill>
      <patternFill patternType="none"/>
    </fill>
    <fill>
      <patternFill patternType="gray125"/>
    </fill>
    <fill>
      <patternFill patternType="solid">
        <fgColor theme="9"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D3D3D3"/>
      </patternFill>
    </fill>
    <fill>
      <patternFill patternType="solid">
        <fgColor rgb="FFFFFF00"/>
        <bgColor indexed="64"/>
      </patternFill>
    </fill>
    <fill>
      <patternFill patternType="solid">
        <fgColor rgb="FFFFFFCC"/>
        <bgColor indexed="64"/>
      </patternFill>
    </fill>
    <fill>
      <patternFill patternType="solid">
        <fgColor theme="2"/>
        <bgColor indexed="64"/>
      </patternFill>
    </fill>
    <fill>
      <patternFill patternType="solid">
        <fgColor theme="5" tint="0.39997558519241921"/>
        <bgColor indexed="64"/>
      </patternFill>
    </fill>
    <fill>
      <patternFill patternType="solid">
        <fgColor rgb="FF00CC99"/>
        <bgColor indexed="64"/>
      </patternFill>
    </fill>
    <fill>
      <patternFill patternType="solid">
        <fgColor theme="6"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s>
  <cellStyleXfs count="4">
    <xf numFmtId="0" fontId="0" fillId="0" borderId="0" applyNumberFormat="0" applyFill="0" applyBorder="0" applyAlignment="0" applyProtection="0"/>
    <xf numFmtId="0" fontId="5" fillId="0" borderId="0" applyNumberFormat="0" applyFill="0" applyBorder="0" applyAlignment="0" applyProtection="0"/>
    <xf numFmtId="0" fontId="16" fillId="7" borderId="7">
      <alignment horizontal="left" vertical="center" wrapText="1"/>
    </xf>
    <xf numFmtId="0" fontId="17" fillId="0" borderId="0" applyNumberFormat="0" applyFill="0" applyBorder="0" applyAlignment="0" applyProtection="0">
      <alignment vertical="top"/>
      <protection locked="0"/>
    </xf>
  </cellStyleXfs>
  <cellXfs count="190">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1" xfId="0" applyFont="1" applyBorder="1" applyAlignment="1">
      <alignment vertical="center"/>
    </xf>
    <xf numFmtId="0" fontId="2" fillId="0" borderId="0" xfId="0" applyFont="1" applyBorder="1" applyAlignment="1">
      <alignment vertical="center"/>
    </xf>
    <xf numFmtId="1" fontId="2" fillId="0" borderId="0" xfId="1" applyNumberFormat="1" applyFont="1" applyAlignment="1">
      <alignment vertical="center"/>
    </xf>
    <xf numFmtId="49" fontId="2" fillId="0" borderId="0" xfId="1" applyNumberFormat="1" applyFont="1" applyAlignment="1">
      <alignment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8" fillId="0" borderId="1" xfId="0" applyFont="1" applyBorder="1" applyAlignment="1">
      <alignmen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11" fillId="0" borderId="0" xfId="0" applyFont="1" applyFill="1" applyBorder="1" applyAlignment="1">
      <alignment vertical="center"/>
    </xf>
    <xf numFmtId="0" fontId="10" fillId="0" borderId="0" xfId="0" applyFont="1" applyBorder="1" applyAlignment="1">
      <alignment vertical="center"/>
    </xf>
    <xf numFmtId="0" fontId="12" fillId="4" borderId="1" xfId="0" applyFont="1" applyFill="1" applyBorder="1" applyAlignment="1">
      <alignment horizontal="left" vertical="center" wrapText="1"/>
    </xf>
    <xf numFmtId="0" fontId="12" fillId="4" borderId="1" xfId="0" applyFont="1" applyFill="1" applyBorder="1" applyAlignment="1">
      <alignment vertical="center" wrapText="1"/>
    </xf>
    <xf numFmtId="164" fontId="13" fillId="4" borderId="1" xfId="0" applyNumberFormat="1" applyFont="1" applyFill="1" applyBorder="1" applyAlignment="1">
      <alignment vertical="center" wrapText="1"/>
    </xf>
    <xf numFmtId="0" fontId="6" fillId="0" borderId="1" xfId="0" applyFont="1" applyFill="1" applyBorder="1" applyAlignment="1">
      <alignment vertical="center"/>
    </xf>
    <xf numFmtId="0" fontId="15" fillId="4" borderId="1" xfId="0" applyFont="1" applyFill="1" applyBorder="1" applyAlignment="1">
      <alignment vertical="center" wrapText="1"/>
    </xf>
    <xf numFmtId="0" fontId="8" fillId="6" borderId="1" xfId="0" applyFont="1" applyFill="1" applyBorder="1" applyAlignment="1">
      <alignment horizontal="center" vertical="center" wrapText="1"/>
    </xf>
    <xf numFmtId="0" fontId="2" fillId="0" borderId="1" xfId="0" applyFont="1" applyFill="1" applyBorder="1" applyAlignment="1">
      <alignment horizontal="right" vertical="center"/>
    </xf>
    <xf numFmtId="0" fontId="3" fillId="0" borderId="1" xfId="0" applyFont="1" applyBorder="1" applyAlignment="1">
      <alignment vertical="center"/>
    </xf>
    <xf numFmtId="0" fontId="8" fillId="5" borderId="1" xfId="0" applyFont="1" applyFill="1" applyBorder="1" applyAlignment="1" applyProtection="1">
      <alignment vertical="center" wrapText="1"/>
      <protection locked="0"/>
    </xf>
    <xf numFmtId="0" fontId="6" fillId="5" borderId="1" xfId="0" applyFont="1" applyFill="1" applyBorder="1" applyAlignment="1" applyProtection="1">
      <alignment vertical="center" wrapText="1"/>
      <protection locked="0"/>
    </xf>
    <xf numFmtId="0" fontId="6" fillId="5" borderId="1" xfId="0" applyFont="1" applyFill="1" applyBorder="1" applyAlignment="1" applyProtection="1">
      <alignment horizontal="left" vertical="center" wrapText="1"/>
      <protection locked="0"/>
    </xf>
    <xf numFmtId="0" fontId="2" fillId="0" borderId="1" xfId="0" applyFont="1" applyBorder="1" applyAlignment="1">
      <alignment vertical="center" wrapText="1"/>
    </xf>
    <xf numFmtId="0" fontId="8" fillId="0" borderId="1" xfId="0" applyFont="1" applyBorder="1" applyAlignment="1" applyProtection="1">
      <alignment horizontal="center" vertical="center" wrapText="1"/>
      <protection locked="0"/>
    </xf>
    <xf numFmtId="166" fontId="2" fillId="0" borderId="0" xfId="0" applyNumberFormat="1" applyFont="1" applyAlignment="1">
      <alignment vertical="center"/>
    </xf>
    <xf numFmtId="0" fontId="2" fillId="4" borderId="1" xfId="0" applyFont="1" applyFill="1" applyBorder="1" applyAlignment="1">
      <alignment vertical="center" wrapText="1"/>
    </xf>
    <xf numFmtId="167" fontId="2" fillId="0" borderId="0" xfId="0" applyNumberFormat="1" applyFont="1" applyAlignment="1">
      <alignment vertical="center"/>
    </xf>
    <xf numFmtId="0" fontId="3" fillId="0" borderId="1" xfId="0" applyFont="1" applyBorder="1" applyAlignment="1">
      <alignment horizontal="right" vertical="center"/>
    </xf>
    <xf numFmtId="165" fontId="3" fillId="0" borderId="1" xfId="0" applyNumberFormat="1" applyFont="1" applyBorder="1" applyAlignment="1">
      <alignment vertical="center"/>
    </xf>
    <xf numFmtId="165" fontId="3" fillId="0" borderId="1" xfId="0" applyNumberFormat="1" applyFont="1" applyFill="1" applyBorder="1" applyAlignment="1">
      <alignment vertical="center"/>
    </xf>
    <xf numFmtId="0" fontId="2" fillId="0" borderId="1" xfId="0" applyFont="1" applyBorder="1" applyAlignment="1">
      <alignment horizontal="left" vertical="center"/>
    </xf>
    <xf numFmtId="0" fontId="8" fillId="5" borderId="1" xfId="0" applyFont="1" applyFill="1" applyBorder="1" applyAlignment="1" applyProtection="1">
      <alignment horizontal="left" vertical="center" wrapText="1"/>
      <protection locked="0"/>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wrapText="1" readingOrder="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readingOrder="1"/>
    </xf>
    <xf numFmtId="0" fontId="6" fillId="3" borderId="1" xfId="0" applyFont="1" applyFill="1" applyBorder="1" applyAlignment="1">
      <alignment horizontal="center" vertical="center" wrapText="1" readingOrder="1"/>
    </xf>
    <xf numFmtId="3" fontId="3" fillId="0" borderId="1" xfId="0" applyNumberFormat="1" applyFont="1" applyBorder="1" applyAlignment="1">
      <alignment vertical="center"/>
    </xf>
    <xf numFmtId="0" fontId="24" fillId="0" borderId="0" xfId="0" applyFont="1" applyAlignment="1">
      <alignment horizontal="center" vertical="center"/>
    </xf>
    <xf numFmtId="0" fontId="1" fillId="2" borderId="3" xfId="0" applyFont="1" applyFill="1" applyBorder="1" applyAlignment="1">
      <alignment horizontal="center" vertical="center" wrapText="1"/>
    </xf>
    <xf numFmtId="3" fontId="3" fillId="0" borderId="4" xfId="0" applyNumberFormat="1" applyFont="1" applyBorder="1" applyAlignment="1">
      <alignment vertical="center"/>
    </xf>
    <xf numFmtId="0" fontId="1" fillId="10" borderId="3" xfId="0" applyFont="1" applyFill="1" applyBorder="1" applyAlignment="1">
      <alignment vertical="center"/>
    </xf>
    <xf numFmtId="0" fontId="1" fillId="9" borderId="3" xfId="0" applyFont="1" applyFill="1" applyBorder="1" applyAlignment="1">
      <alignment horizontal="center" vertical="center"/>
    </xf>
    <xf numFmtId="0" fontId="1" fillId="9" borderId="10" xfId="0" applyFont="1" applyFill="1" applyBorder="1" applyAlignment="1">
      <alignment horizontal="center" vertical="center"/>
    </xf>
    <xf numFmtId="0" fontId="7" fillId="10" borderId="1" xfId="0" applyFont="1" applyFill="1" applyBorder="1" applyAlignment="1">
      <alignment horizontal="center" vertical="center" wrapText="1"/>
    </xf>
    <xf numFmtId="0" fontId="17" fillId="0" borderId="0" xfId="3" applyAlignment="1" applyProtection="1">
      <alignment vertical="center"/>
    </xf>
    <xf numFmtId="0" fontId="27" fillId="0" borderId="0" xfId="0" applyFont="1" applyAlignment="1">
      <alignment vertical="center"/>
    </xf>
    <xf numFmtId="0" fontId="8" fillId="5" borderId="1" xfId="0" applyFont="1" applyFill="1" applyBorder="1" applyAlignment="1">
      <alignment vertical="center" wrapText="1"/>
    </xf>
    <xf numFmtId="0" fontId="26" fillId="0" borderId="0" xfId="0" applyFont="1" applyAlignment="1">
      <alignment horizontal="left" vertical="center" wrapText="1"/>
    </xf>
    <xf numFmtId="0" fontId="29" fillId="5" borderId="1" xfId="0" applyFont="1" applyFill="1" applyBorder="1" applyAlignment="1">
      <alignment vertical="center"/>
    </xf>
    <xf numFmtId="0" fontId="8" fillId="11" borderId="1" xfId="0" applyFont="1" applyFill="1" applyBorder="1" applyAlignment="1">
      <alignment vertical="center"/>
    </xf>
    <xf numFmtId="0" fontId="7" fillId="11" borderId="1" xfId="0" applyFont="1" applyFill="1" applyBorder="1" applyAlignment="1">
      <alignment horizontal="center" vertical="center"/>
    </xf>
    <xf numFmtId="0" fontId="6" fillId="11" borderId="1" xfId="0" applyFont="1" applyFill="1" applyBorder="1" applyAlignment="1" applyProtection="1">
      <alignment horizontal="left" vertical="center"/>
      <protection locked="0"/>
    </xf>
    <xf numFmtId="0" fontId="8" fillId="11" borderId="1" xfId="0" applyFont="1" applyFill="1" applyBorder="1" applyAlignment="1" applyProtection="1">
      <alignment vertical="center"/>
      <protection locked="0"/>
    </xf>
    <xf numFmtId="0" fontId="6" fillId="5" borderId="1" xfId="0" applyFont="1" applyFill="1" applyBorder="1" applyAlignment="1">
      <alignment vertical="center" wrapText="1"/>
    </xf>
    <xf numFmtId="0" fontId="4" fillId="9" borderId="1" xfId="0" applyFont="1" applyFill="1" applyBorder="1" applyAlignment="1">
      <alignment vertical="center" wrapText="1"/>
    </xf>
    <xf numFmtId="0" fontId="8" fillId="0" borderId="1" xfId="0" applyFont="1" applyBorder="1" applyAlignment="1" applyProtection="1">
      <alignment vertical="center"/>
    </xf>
    <xf numFmtId="0" fontId="21" fillId="0" borderId="8" xfId="0" applyFont="1" applyBorder="1" applyAlignment="1">
      <alignment horizontal="right" vertical="center"/>
    </xf>
    <xf numFmtId="0" fontId="22" fillId="0" borderId="9" xfId="0" applyFont="1" applyBorder="1" applyAlignment="1">
      <alignment horizontal="center" vertical="center"/>
    </xf>
    <xf numFmtId="0" fontId="22" fillId="0" borderId="0" xfId="0" applyFont="1" applyBorder="1" applyAlignment="1">
      <alignment horizontal="center" vertical="center"/>
    </xf>
    <xf numFmtId="0" fontId="21" fillId="4" borderId="1" xfId="0" applyFont="1" applyFill="1" applyBorder="1" applyAlignment="1">
      <alignment vertical="center"/>
    </xf>
    <xf numFmtId="164" fontId="21" fillId="4" borderId="1" xfId="0" applyNumberFormat="1" applyFont="1" applyFill="1" applyBorder="1" applyAlignment="1">
      <alignment vertical="center"/>
    </xf>
    <xf numFmtId="0" fontId="6" fillId="3" borderId="1" xfId="0" applyFont="1" applyFill="1" applyBorder="1" applyAlignment="1">
      <alignment horizontal="center" vertical="center" wrapText="1" readingOrder="1"/>
    </xf>
    <xf numFmtId="0" fontId="6" fillId="3" borderId="1" xfId="0" applyFont="1" applyFill="1" applyBorder="1" applyAlignment="1">
      <alignment horizontal="center" vertical="center" wrapText="1"/>
    </xf>
    <xf numFmtId="0" fontId="6" fillId="12" borderId="1" xfId="0" applyFont="1" applyFill="1" applyBorder="1" applyAlignment="1">
      <alignment horizontal="left" vertical="center" wrapText="1" readingOrder="1"/>
    </xf>
    <xf numFmtId="0" fontId="9" fillId="4" borderId="1" xfId="0" applyFont="1" applyFill="1" applyBorder="1" applyAlignment="1">
      <alignment horizontal="left" vertical="center" wrapText="1"/>
    </xf>
    <xf numFmtId="0" fontId="6" fillId="2" borderId="1" xfId="0" applyFont="1" applyFill="1" applyBorder="1" applyAlignment="1">
      <alignment horizontal="left" vertical="center" wrapText="1" readingOrder="1"/>
    </xf>
    <xf numFmtId="0" fontId="30" fillId="8" borderId="1" xfId="0" applyFont="1" applyFill="1" applyBorder="1" applyAlignment="1">
      <alignment vertical="center"/>
    </xf>
    <xf numFmtId="0" fontId="31" fillId="0" borderId="8" xfId="0" applyFont="1" applyBorder="1" applyAlignment="1">
      <alignment horizontal="right" vertical="center"/>
    </xf>
    <xf numFmtId="0" fontId="6"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2" fillId="0" borderId="8" xfId="0" applyFont="1" applyBorder="1" applyAlignment="1">
      <alignment vertical="center"/>
    </xf>
    <xf numFmtId="0" fontId="1" fillId="10" borderId="1" xfId="0" applyFont="1" applyFill="1" applyBorder="1" applyAlignment="1">
      <alignment vertical="center"/>
    </xf>
    <xf numFmtId="0" fontId="1" fillId="10" borderId="1" xfId="0" applyFont="1" applyFill="1" applyBorder="1" applyAlignment="1">
      <alignment vertical="center" wrapText="1"/>
    </xf>
    <xf numFmtId="0" fontId="6" fillId="3" borderId="1" xfId="0" applyFont="1" applyFill="1" applyBorder="1" applyAlignment="1">
      <alignment vertical="center" wrapText="1" readingOrder="1"/>
    </xf>
    <xf numFmtId="169" fontId="21" fillId="4" borderId="1" xfId="0" applyNumberFormat="1" applyFont="1" applyFill="1" applyBorder="1" applyAlignment="1">
      <alignment vertical="center"/>
    </xf>
    <xf numFmtId="0" fontId="3" fillId="0" borderId="5" xfId="0" applyFont="1" applyBorder="1" applyAlignment="1">
      <alignment vertical="center"/>
    </xf>
    <xf numFmtId="168" fontId="3" fillId="0" borderId="4" xfId="0" applyNumberFormat="1" applyFont="1" applyBorder="1" applyAlignment="1">
      <alignment vertical="center"/>
    </xf>
    <xf numFmtId="168" fontId="3" fillId="0" borderId="4" xfId="0" applyNumberFormat="1" applyFont="1" applyFill="1" applyBorder="1" applyAlignment="1">
      <alignment vertical="center"/>
    </xf>
    <xf numFmtId="0" fontId="1" fillId="2" borderId="15" xfId="0" applyFont="1" applyFill="1" applyBorder="1" applyAlignment="1">
      <alignment horizontal="center" vertical="center"/>
    </xf>
    <xf numFmtId="0" fontId="1"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0" xfId="0" applyFont="1" applyFill="1" applyBorder="1" applyAlignment="1">
      <alignment horizontal="center" vertical="center"/>
    </xf>
    <xf numFmtId="0" fontId="3" fillId="0" borderId="13" xfId="0" applyFont="1" applyBorder="1" applyAlignment="1">
      <alignment vertical="center"/>
    </xf>
    <xf numFmtId="0" fontId="3" fillId="0" borderId="2" xfId="0" applyFont="1" applyBorder="1" applyAlignment="1">
      <alignment horizontal="right" vertical="center"/>
    </xf>
    <xf numFmtId="165" fontId="3" fillId="0" borderId="2" xfId="0" applyNumberFormat="1" applyFont="1" applyBorder="1" applyAlignment="1">
      <alignment vertical="center"/>
    </xf>
    <xf numFmtId="168" fontId="3" fillId="0" borderId="14" xfId="0" applyNumberFormat="1" applyFont="1" applyBorder="1" applyAlignment="1">
      <alignment vertical="center"/>
    </xf>
    <xf numFmtId="165" fontId="8" fillId="0" borderId="1" xfId="0" applyNumberFormat="1" applyFont="1" applyBorder="1" applyAlignment="1" applyProtection="1">
      <alignment vertical="center" wrapText="1"/>
      <protection locked="0"/>
    </xf>
    <xf numFmtId="0" fontId="8" fillId="11" borderId="1" xfId="0" applyFont="1" applyFill="1" applyBorder="1" applyAlignment="1">
      <alignment horizontal="center" vertical="center" wrapText="1"/>
    </xf>
    <xf numFmtId="0" fontId="12" fillId="11" borderId="1" xfId="0" applyFont="1" applyFill="1" applyBorder="1" applyAlignment="1">
      <alignment horizontal="left" vertical="center" wrapText="1"/>
    </xf>
    <xf numFmtId="0" fontId="8" fillId="11" borderId="1" xfId="0" applyFont="1" applyFill="1" applyBorder="1" applyAlignment="1" applyProtection="1">
      <alignment horizontal="left" vertical="center"/>
      <protection locked="0"/>
    </xf>
    <xf numFmtId="1" fontId="4" fillId="9" borderId="1" xfId="0" applyNumberFormat="1" applyFont="1" applyFill="1" applyBorder="1" applyAlignment="1">
      <alignment horizontal="center" vertical="center"/>
    </xf>
    <xf numFmtId="3" fontId="22" fillId="0" borderId="9" xfId="0" applyNumberFormat="1" applyFont="1" applyBorder="1" applyAlignment="1">
      <alignment horizontal="center" vertical="center"/>
    </xf>
    <xf numFmtId="0" fontId="33" fillId="4" borderId="1" xfId="0" applyFont="1" applyFill="1" applyBorder="1" applyAlignment="1">
      <alignment horizontal="center" vertical="center"/>
    </xf>
    <xf numFmtId="0" fontId="2" fillId="4" borderId="1" xfId="0" applyFont="1" applyFill="1" applyBorder="1" applyAlignment="1">
      <alignment vertical="center"/>
    </xf>
    <xf numFmtId="0" fontId="6" fillId="3" borderId="2" xfId="0" applyFont="1" applyFill="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2" fillId="5" borderId="1" xfId="0" applyFont="1" applyFill="1" applyBorder="1" applyAlignment="1">
      <alignment vertical="center" wrapText="1"/>
    </xf>
    <xf numFmtId="0" fontId="35" fillId="5" borderId="1" xfId="0" applyFont="1" applyFill="1" applyBorder="1" applyAlignment="1">
      <alignment vertical="center" wrapText="1"/>
    </xf>
    <xf numFmtId="0" fontId="1" fillId="6" borderId="1" xfId="0" applyFont="1" applyFill="1" applyBorder="1" applyAlignment="1">
      <alignment vertical="center"/>
    </xf>
    <xf numFmtId="0" fontId="4" fillId="4" borderId="1" xfId="0" applyFont="1" applyFill="1" applyBorder="1" applyAlignment="1">
      <alignment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36" fillId="4" borderId="1" xfId="0" applyFont="1" applyFill="1" applyBorder="1" applyAlignment="1">
      <alignment vertical="center" wrapText="1"/>
    </xf>
    <xf numFmtId="0" fontId="36" fillId="4" borderId="1" xfId="0" applyFont="1" applyFill="1" applyBorder="1" applyAlignment="1">
      <alignment vertical="center"/>
    </xf>
    <xf numFmtId="165" fontId="21" fillId="4" borderId="1" xfId="0" applyNumberFormat="1" applyFont="1" applyFill="1" applyBorder="1" applyAlignment="1">
      <alignment vertical="center"/>
    </xf>
    <xf numFmtId="0" fontId="2" fillId="11" borderId="1" xfId="0" applyFont="1" applyFill="1" applyBorder="1" applyAlignment="1">
      <alignment vertical="center"/>
    </xf>
    <xf numFmtId="0" fontId="6" fillId="11" borderId="11" xfId="0" applyFont="1" applyFill="1" applyBorder="1" applyAlignment="1">
      <alignment vertical="center" wrapText="1" readingOrder="1"/>
    </xf>
    <xf numFmtId="0" fontId="2" fillId="0" borderId="12" xfId="0" applyFont="1" applyBorder="1" applyAlignment="1">
      <alignment vertical="center"/>
    </xf>
    <xf numFmtId="0" fontId="21" fillId="0" borderId="9" xfId="0" applyFont="1" applyBorder="1" applyAlignment="1">
      <alignment horizontal="right" vertical="center"/>
    </xf>
    <xf numFmtId="0" fontId="21" fillId="4" borderId="1" xfId="0" applyFont="1" applyFill="1" applyBorder="1" applyAlignment="1">
      <alignment horizontal="center" vertical="center" wrapText="1"/>
    </xf>
    <xf numFmtId="3" fontId="21" fillId="4" borderId="1" xfId="0" applyNumberFormat="1" applyFont="1" applyFill="1" applyBorder="1" applyAlignment="1">
      <alignment vertical="center"/>
    </xf>
    <xf numFmtId="0" fontId="2" fillId="3" borderId="1" xfId="0" applyFont="1" applyFill="1" applyBorder="1" applyAlignment="1">
      <alignment horizontal="left" vertical="center"/>
    </xf>
    <xf numFmtId="0" fontId="6" fillId="3" borderId="2" xfId="0" applyFont="1" applyFill="1" applyBorder="1" applyAlignment="1">
      <alignment vertical="center" wrapText="1" readingOrder="1"/>
    </xf>
    <xf numFmtId="0" fontId="2" fillId="6" borderId="1" xfId="0" applyFont="1" applyFill="1" applyBorder="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vertical="center"/>
    </xf>
    <xf numFmtId="3" fontId="2" fillId="0" borderId="1" xfId="0" applyNumberFormat="1" applyFont="1" applyBorder="1" applyAlignment="1">
      <alignment vertical="center"/>
    </xf>
    <xf numFmtId="3" fontId="2" fillId="0" borderId="1" xfId="0" applyNumberFormat="1" applyFont="1" applyBorder="1" applyAlignment="1" applyProtection="1">
      <alignment vertical="center" wrapText="1"/>
      <protection locked="0"/>
    </xf>
    <xf numFmtId="0" fontId="37" fillId="0" borderId="0" xfId="0" applyFont="1" applyAlignment="1">
      <alignment vertical="center"/>
    </xf>
    <xf numFmtId="0" fontId="10" fillId="0" borderId="0" xfId="0" applyFont="1" applyAlignment="1">
      <alignment vertical="center"/>
    </xf>
    <xf numFmtId="0" fontId="6" fillId="0" borderId="1" xfId="0" applyFont="1" applyFill="1" applyBorder="1" applyAlignment="1" applyProtection="1">
      <alignment vertical="center" wrapText="1"/>
      <protection locked="0"/>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lignment vertical="center" wrapText="1"/>
    </xf>
    <xf numFmtId="0" fontId="38" fillId="0" borderId="0" xfId="3" applyFont="1" applyAlignment="1" applyProtection="1">
      <alignment vertical="center"/>
    </xf>
    <xf numFmtId="0" fontId="39" fillId="0" borderId="0" xfId="3" applyFont="1" applyAlignment="1" applyProtection="1">
      <alignment vertical="center"/>
    </xf>
    <xf numFmtId="0" fontId="40" fillId="0" borderId="0" xfId="0" applyFont="1" applyAlignment="1">
      <alignment vertical="center"/>
    </xf>
    <xf numFmtId="0" fontId="41" fillId="0" borderId="0" xfId="0" applyFont="1" applyAlignment="1">
      <alignment vertical="center"/>
    </xf>
    <xf numFmtId="0" fontId="33" fillId="0" borderId="0" xfId="0" applyFont="1" applyAlignment="1">
      <alignment vertical="center"/>
    </xf>
    <xf numFmtId="0" fontId="8" fillId="0" borderId="1" xfId="0" applyFont="1" applyFill="1" applyBorder="1" applyAlignment="1">
      <alignment vertical="center"/>
    </xf>
    <xf numFmtId="0" fontId="6" fillId="3" borderId="2" xfId="0" applyFont="1" applyFill="1" applyBorder="1" applyAlignment="1">
      <alignment horizontal="center" vertical="center" wrapText="1" readingOrder="1"/>
    </xf>
    <xf numFmtId="0" fontId="6" fillId="3" borderId="1" xfId="0" applyFont="1" applyFill="1" applyBorder="1" applyAlignment="1">
      <alignment horizontal="center" vertical="center" wrapText="1" readingOrder="1"/>
    </xf>
    <xf numFmtId="0" fontId="2" fillId="5" borderId="1" xfId="0" applyFont="1" applyFill="1" applyBorder="1" applyAlignment="1">
      <alignment vertical="center" wrapText="1"/>
    </xf>
    <xf numFmtId="3" fontId="8" fillId="5" borderId="1" xfId="0" applyNumberFormat="1" applyFont="1" applyFill="1" applyBorder="1" applyAlignment="1" applyProtection="1">
      <alignment vertical="center" wrapText="1"/>
      <protection locked="0"/>
    </xf>
    <xf numFmtId="164" fontId="2" fillId="5" borderId="1" xfId="0" applyNumberFormat="1" applyFont="1" applyFill="1" applyBorder="1" applyAlignment="1" applyProtection="1">
      <alignment vertical="center"/>
      <protection locked="0"/>
    </xf>
    <xf numFmtId="164" fontId="2" fillId="5" borderId="1" xfId="0" applyNumberFormat="1" applyFont="1" applyFill="1" applyBorder="1" applyAlignment="1" applyProtection="1">
      <alignment vertical="center" wrapText="1"/>
      <protection locked="0"/>
    </xf>
    <xf numFmtId="0" fontId="6" fillId="5" borderId="1" xfId="0" applyFont="1" applyFill="1" applyBorder="1" applyAlignment="1">
      <alignment vertical="center"/>
    </xf>
    <xf numFmtId="0" fontId="8" fillId="5" borderId="1" xfId="0" applyFont="1" applyFill="1" applyBorder="1" applyAlignment="1" applyProtection="1">
      <alignment horizontal="center" vertical="center" wrapText="1"/>
      <protection locked="0"/>
    </xf>
    <xf numFmtId="170" fontId="2" fillId="5" borderId="1" xfId="0" applyNumberFormat="1" applyFont="1" applyFill="1" applyBorder="1" applyAlignment="1">
      <alignment vertical="center" wrapText="1"/>
    </xf>
    <xf numFmtId="0" fontId="27" fillId="0" borderId="0" xfId="0" applyFont="1" applyAlignment="1">
      <alignment vertical="center" wrapText="1"/>
    </xf>
    <xf numFmtId="4" fontId="8" fillId="5" borderId="1" xfId="0" applyNumberFormat="1" applyFont="1" applyFill="1" applyBorder="1" applyAlignment="1" applyProtection="1">
      <alignment horizontal="center" vertical="center" wrapText="1"/>
      <protection locked="0"/>
    </xf>
    <xf numFmtId="0" fontId="3" fillId="5" borderId="1" xfId="0" applyFont="1" applyFill="1" applyBorder="1" applyAlignment="1">
      <alignment horizontal="left" vertical="center" wrapText="1"/>
    </xf>
    <xf numFmtId="0" fontId="2" fillId="5" borderId="1" xfId="0" applyFont="1" applyFill="1" applyBorder="1" applyAlignment="1">
      <alignment vertical="center"/>
    </xf>
    <xf numFmtId="0" fontId="28" fillId="0" borderId="0" xfId="0" applyFont="1" applyAlignment="1">
      <alignment vertical="center"/>
    </xf>
    <xf numFmtId="0" fontId="26" fillId="0" borderId="0" xfId="0" applyFont="1" applyAlignment="1">
      <alignment vertical="center"/>
    </xf>
    <xf numFmtId="0" fontId="18" fillId="0" borderId="0" xfId="0" applyFont="1" applyAlignment="1">
      <alignment vertical="center"/>
    </xf>
    <xf numFmtId="0" fontId="42" fillId="0" borderId="0" xfId="0" applyFont="1" applyAlignment="1">
      <alignment vertical="center"/>
    </xf>
    <xf numFmtId="0" fontId="31" fillId="0" borderId="9" xfId="0" applyFont="1" applyBorder="1" applyAlignment="1">
      <alignment horizontal="left" vertical="center"/>
    </xf>
    <xf numFmtId="0" fontId="17" fillId="5" borderId="1" xfId="3" applyFill="1" applyBorder="1" applyAlignment="1" applyProtection="1">
      <alignment vertical="center" wrapText="1"/>
      <protection locked="0"/>
    </xf>
    <xf numFmtId="0" fontId="17" fillId="5" borderId="1" xfId="3" applyFill="1" applyBorder="1" applyAlignment="1" applyProtection="1">
      <alignment vertical="center" wrapText="1"/>
    </xf>
    <xf numFmtId="3" fontId="8" fillId="5" borderId="1" xfId="0" applyNumberFormat="1" applyFont="1" applyFill="1" applyBorder="1" applyAlignment="1" applyProtection="1">
      <alignment horizontal="left" vertical="center" wrapText="1"/>
      <protection locked="0"/>
    </xf>
    <xf numFmtId="0" fontId="4" fillId="9" borderId="4" xfId="0" applyFont="1" applyFill="1" applyBorder="1" applyAlignment="1">
      <alignment horizontal="center" vertical="center"/>
    </xf>
    <xf numFmtId="0" fontId="4" fillId="9" borderId="6" xfId="0" applyFont="1" applyFill="1" applyBorder="1" applyAlignment="1">
      <alignment horizontal="center" vertical="center"/>
    </xf>
    <xf numFmtId="0" fontId="4" fillId="9"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26" fillId="13" borderId="0" xfId="0" applyFont="1" applyFill="1" applyAlignment="1">
      <alignment horizontal="left" vertical="center" wrapText="1"/>
    </xf>
    <xf numFmtId="0" fontId="40" fillId="0" borderId="0" xfId="0" applyFont="1" applyAlignment="1">
      <alignment horizontal="left" vertical="center"/>
    </xf>
    <xf numFmtId="0" fontId="26" fillId="0" borderId="0" xfId="0" applyFont="1" applyAlignment="1">
      <alignment vertical="center" wrapText="1"/>
    </xf>
    <xf numFmtId="0" fontId="26" fillId="0" borderId="0" xfId="0" applyFont="1" applyAlignment="1">
      <alignment horizontal="left" vertical="center" wrapText="1"/>
    </xf>
    <xf numFmtId="0" fontId="0" fillId="0" borderId="0" xfId="0" applyAlignment="1">
      <alignment horizontal="left" vertical="center" wrapText="1"/>
    </xf>
    <xf numFmtId="0" fontId="6" fillId="10" borderId="1" xfId="0" applyFont="1" applyFill="1" applyBorder="1" applyAlignment="1">
      <alignment horizontal="center" vertical="center" wrapText="1"/>
    </xf>
    <xf numFmtId="0" fontId="6" fillId="3" borderId="2" xfId="0" applyFont="1" applyFill="1" applyBorder="1" applyAlignment="1">
      <alignment horizontal="center" vertical="center" wrapText="1" readingOrder="1"/>
    </xf>
    <xf numFmtId="0" fontId="6" fillId="3" borderId="3" xfId="0" applyFont="1" applyFill="1" applyBorder="1" applyAlignment="1">
      <alignment horizontal="center" vertical="center" wrapText="1" readingOrder="1"/>
    </xf>
    <xf numFmtId="0" fontId="6" fillId="11"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21" fillId="4" borderId="4" xfId="0" applyFont="1" applyFill="1" applyBorder="1" applyAlignment="1">
      <alignment horizontal="center" vertical="center"/>
    </xf>
    <xf numFmtId="0" fontId="21" fillId="4" borderId="6" xfId="0" applyFont="1" applyFill="1" applyBorder="1" applyAlignment="1">
      <alignment horizontal="center" vertical="center"/>
    </xf>
    <xf numFmtId="0" fontId="21" fillId="4" borderId="5" xfId="0" applyFont="1" applyFill="1" applyBorder="1" applyAlignment="1">
      <alignment horizontal="center" vertical="center"/>
    </xf>
    <xf numFmtId="0" fontId="6" fillId="3" borderId="1" xfId="0" applyFont="1" applyFill="1" applyBorder="1" applyAlignment="1">
      <alignment horizontal="center" vertical="center" wrapText="1" readingOrder="1"/>
    </xf>
    <xf numFmtId="0" fontId="6" fillId="3" borderId="4" xfId="0" applyFont="1" applyFill="1" applyBorder="1" applyAlignment="1">
      <alignment horizontal="center" vertical="center" wrapText="1" readingOrder="1"/>
    </xf>
    <xf numFmtId="0" fontId="6" fillId="3" borderId="6" xfId="0" applyFont="1" applyFill="1" applyBorder="1" applyAlignment="1">
      <alignment horizontal="center" vertical="center" wrapText="1" readingOrder="1"/>
    </xf>
    <xf numFmtId="0" fontId="6" fillId="3" borderId="5" xfId="0" applyFont="1" applyFill="1" applyBorder="1" applyAlignment="1">
      <alignment horizontal="center" vertical="center" wrapText="1" readingOrder="1"/>
    </xf>
    <xf numFmtId="0" fontId="21" fillId="4" borderId="1" xfId="0" applyFont="1" applyFill="1" applyBorder="1" applyAlignment="1">
      <alignment horizontal="center" vertical="center"/>
    </xf>
    <xf numFmtId="0" fontId="6" fillId="12" borderId="4" xfId="0" applyFont="1" applyFill="1" applyBorder="1" applyAlignment="1">
      <alignment horizontal="center" vertical="center" wrapText="1" readingOrder="1"/>
    </xf>
    <xf numFmtId="0" fontId="6" fillId="12" borderId="6" xfId="0" applyFont="1" applyFill="1" applyBorder="1" applyAlignment="1">
      <alignment horizontal="center" vertical="center" wrapText="1" readingOrder="1"/>
    </xf>
    <xf numFmtId="0" fontId="6" fillId="12" borderId="5" xfId="0" applyFont="1" applyFill="1" applyBorder="1" applyAlignment="1">
      <alignment horizontal="center" vertical="center" wrapText="1" readingOrder="1"/>
    </xf>
    <xf numFmtId="0" fontId="6" fillId="2" borderId="4" xfId="0" applyFont="1" applyFill="1" applyBorder="1" applyAlignment="1">
      <alignment horizontal="center" vertical="center" wrapText="1" readingOrder="1"/>
    </xf>
    <xf numFmtId="0" fontId="6" fillId="2" borderId="6" xfId="0" applyFont="1" applyFill="1" applyBorder="1" applyAlignment="1">
      <alignment horizontal="center" vertical="center" wrapText="1" readingOrder="1"/>
    </xf>
    <xf numFmtId="0" fontId="6" fillId="2" borderId="5" xfId="0" applyFont="1" applyFill="1" applyBorder="1" applyAlignment="1">
      <alignment horizontal="center" vertical="center" wrapText="1" readingOrder="1"/>
    </xf>
    <xf numFmtId="0" fontId="6" fillId="3" borderId="11" xfId="0" applyFont="1" applyFill="1" applyBorder="1" applyAlignment="1">
      <alignment horizontal="center" vertical="center" wrapText="1" readingOrder="1"/>
    </xf>
    <xf numFmtId="0" fontId="2" fillId="5" borderId="1" xfId="0" applyFont="1" applyFill="1" applyBorder="1" applyAlignment="1">
      <alignment vertical="center" wrapText="1"/>
    </xf>
    <xf numFmtId="0" fontId="4" fillId="4" borderId="1" xfId="0" applyFont="1" applyFill="1" applyBorder="1" applyAlignment="1">
      <alignment horizontal="left" vertical="center" wrapText="1"/>
    </xf>
    <xf numFmtId="0" fontId="4" fillId="6" borderId="1" xfId="0" applyFont="1" applyFill="1" applyBorder="1" applyAlignment="1">
      <alignment horizontal="left" vertical="center"/>
    </xf>
    <xf numFmtId="0" fontId="4" fillId="4" borderId="1" xfId="0" applyFont="1" applyFill="1" applyBorder="1" applyAlignment="1">
      <alignment horizontal="left" vertical="center"/>
    </xf>
  </cellXfs>
  <cellStyles count="4">
    <cellStyle name="Hiperłącze" xfId="3" builtinId="8"/>
    <cellStyle name="Kolumna" xfId="2"/>
    <cellStyle name="Normalny" xfId="0" builtinId="0"/>
    <cellStyle name="Normalny 2" xfId="1"/>
  </cellStyles>
  <dxfs count="74">
    <dxf>
      <font>
        <color theme="0"/>
      </font>
    </dxf>
    <dxf>
      <font>
        <color theme="0"/>
      </font>
      <fill>
        <patternFill patternType="none">
          <bgColor auto="1"/>
        </patternFill>
      </fill>
    </dxf>
    <dxf>
      <font>
        <color theme="0"/>
      </font>
      <fill>
        <patternFill patternType="none">
          <bgColor auto="1"/>
        </patternFill>
      </fill>
    </dxf>
    <dxf>
      <fill>
        <patternFill>
          <bgColor theme="0" tint="-0.499984740745262"/>
        </patternFill>
      </fill>
    </dxf>
    <dxf>
      <fill>
        <patternFill>
          <bgColor theme="1" tint="0.499984740745262"/>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theme="0" tint="-0.499984740745262"/>
        </patternFill>
      </fill>
    </dxf>
    <dxf>
      <fill>
        <patternFill>
          <bgColor theme="0" tint="-0.499984740745262"/>
        </patternFill>
      </fill>
    </dxf>
    <dxf>
      <font>
        <color theme="0"/>
      </font>
      <fill>
        <patternFill patternType="none">
          <bgColor auto="1"/>
        </patternFill>
      </fill>
    </dxf>
    <dxf>
      <font>
        <color theme="0"/>
      </font>
    </dxf>
    <dxf>
      <font>
        <color theme="0"/>
      </font>
    </dxf>
    <dxf>
      <font>
        <color theme="0"/>
      </font>
    </dxf>
    <dxf>
      <font>
        <color theme="0"/>
      </font>
    </dxf>
    <dxf>
      <font>
        <color theme="0"/>
      </font>
    </dxf>
    <dxf>
      <font>
        <b val="0"/>
        <i val="0"/>
        <strike val="0"/>
        <condense val="0"/>
        <extend val="0"/>
        <outline val="0"/>
        <shadow val="0"/>
        <u val="none"/>
        <vertAlign val="baseline"/>
        <sz val="9"/>
        <color theme="1"/>
        <name val="Calibri"/>
        <scheme val="none"/>
      </font>
      <numFmt numFmtId="168" formatCode="#,##0.0000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165" formatCode="#,##0.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9"/>
        <color theme="1"/>
        <name val="Calibri"/>
        <scheme val="none"/>
      </font>
      <fill>
        <patternFill patternType="solid">
          <fgColor indexed="64"/>
          <bgColor theme="9" tint="0.399975585192419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scheme val="none"/>
      </font>
      <numFmt numFmtId="3" formatCode="#,##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0" formatCode="General"/>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right style="thin">
          <color indexed="64"/>
        </right>
        <top style="thin">
          <color indexed="64"/>
        </top>
      </border>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rgb="FFFFFFCC"/>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theme="2" tint="-0.24994659260841701"/>
      </font>
    </dxf>
    <dxf>
      <font>
        <color theme="2" tint="-0.24994659260841701"/>
      </font>
    </dxf>
    <dxf>
      <font>
        <color theme="2" tint="-0.24994659260841701"/>
      </font>
    </dxf>
    <dxf>
      <font>
        <color theme="2" tint="-0.24994659260841701"/>
      </font>
    </dxf>
    <dxf>
      <font>
        <color theme="2" tint="-0.24994659260841701"/>
      </font>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2"/>
        </patternFill>
      </fill>
      <alignment horizontal="general"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top style="thin">
          <color indexed="64"/>
        </top>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9"/>
        <color auto="1"/>
        <name val="Calibri"/>
        <scheme val="none"/>
      </font>
      <numFmt numFmtId="30" formatCode="@"/>
      <alignment horizontal="general" vertical="center" textRotation="0" wrapText="0" indent="0" justifyLastLine="0" shrinkToFit="0" readingOrder="0"/>
    </dxf>
    <dxf>
      <border outline="0">
        <top style="thin">
          <color indexed="64"/>
        </top>
      </border>
    </dxf>
    <dxf>
      <border outline="0">
        <bottom style="thin">
          <color indexed="64"/>
        </bottom>
      </border>
    </dxf>
    <dxf>
      <font>
        <b/>
        <i val="0"/>
        <strike val="0"/>
        <condense val="0"/>
        <extend val="0"/>
        <outline val="0"/>
        <shadow val="0"/>
        <u val="none"/>
        <vertAlign val="baseline"/>
        <sz val="9"/>
        <color auto="1"/>
        <name val="Calibri"/>
        <scheme val="none"/>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FFFF99"/>
      <color rgb="FF006600"/>
      <color rgb="FF0000FF"/>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Structure" Target="richData/rdrichvaluestructure.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1190625</xdr:colOff>
          <xdr:row>4</xdr:row>
          <xdr:rowOff>276225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180975</xdr:rowOff>
        </xdr:from>
        <xdr:to>
          <xdr:col>1</xdr:col>
          <xdr:colOff>990600</xdr:colOff>
          <xdr:row>4</xdr:row>
          <xdr:rowOff>581025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PD/PDC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514350</xdr:rowOff>
        </xdr:from>
        <xdr:to>
          <xdr:col>1</xdr:col>
          <xdr:colOff>1038225</xdr:colOff>
          <xdr:row>4</xdr:row>
          <xdr:rowOff>742950</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 obydwa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752475</xdr:rowOff>
        </xdr:from>
        <xdr:to>
          <xdr:col>1</xdr:col>
          <xdr:colOff>1038225</xdr:colOff>
          <xdr:row>4</xdr:row>
          <xdr:rowOff>962025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0</xdr:rowOff>
        </xdr:from>
        <xdr:to>
          <xdr:col>1</xdr:col>
          <xdr:colOff>1009650</xdr:colOff>
          <xdr:row>8</xdr:row>
          <xdr:rowOff>209550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209550</xdr:rowOff>
        </xdr:from>
        <xdr:to>
          <xdr:col>1</xdr:col>
          <xdr:colOff>1123950</xdr:colOff>
          <xdr:row>8</xdr:row>
          <xdr:rowOff>457200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47625</xdr:rowOff>
        </xdr:from>
        <xdr:to>
          <xdr:col>1</xdr:col>
          <xdr:colOff>1009650</xdr:colOff>
          <xdr:row>12</xdr:row>
          <xdr:rowOff>314325</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TAK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285750</xdr:rowOff>
        </xdr:from>
        <xdr:to>
          <xdr:col>1</xdr:col>
          <xdr:colOff>1009650</xdr:colOff>
          <xdr:row>12</xdr:row>
          <xdr:rowOff>542925</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Internet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466725</xdr:rowOff>
        </xdr:from>
        <xdr:to>
          <xdr:col>1</xdr:col>
          <xdr:colOff>1009650</xdr:colOff>
          <xdr:row>12</xdr:row>
          <xdr:rowOff>752475</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Radio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666750</xdr:rowOff>
        </xdr:from>
        <xdr:to>
          <xdr:col>1</xdr:col>
          <xdr:colOff>1009650</xdr:colOff>
          <xdr:row>12</xdr:row>
          <xdr:rowOff>962025</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Telewizja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895350</xdr:rowOff>
        </xdr:from>
        <xdr:to>
          <xdr:col>1</xdr:col>
          <xdr:colOff>1009650</xdr:colOff>
          <xdr:row>12</xdr:row>
          <xdr:rowOff>1181100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Inne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12</xdr:row>
          <xdr:rowOff>1104900</xdr:rowOff>
        </xdr:from>
        <xdr:to>
          <xdr:col>1</xdr:col>
          <xdr:colOff>1009650</xdr:colOff>
          <xdr:row>12</xdr:row>
          <xdr:rowOff>1381125</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pl-PL" sz="800" b="0" i="0" u="none" strike="noStrike" baseline="0">
                  <a:solidFill>
                    <a:srgbClr val="000000"/>
                  </a:solidFill>
                  <a:latin typeface="Segoe UI"/>
                  <a:cs typeface="Segoe UI"/>
                </a:rPr>
                <a:t>NIE</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lochno/Ustawienia%20lokalne/Temporary%20Internet%20Files/Content.Outlook/1MNEXO3H/POP%20Sl&#261;sk2014/Formularze%20do%20inwentaryzacji%20emisji%20ze%20&#378;r&#243;de&#322;%20naturalnych%20i%20rolnictw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ane%20do%20sprawozdania%20o%20Czystym%20Powietrzu%20do%20lutego/Za%202021%20rok/Sprawozdanie%20stara%20wers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y"/>
      <sheetName val="Arkusz1"/>
    </sheetNames>
    <sheetDataSet>
      <sheetData sheetId="0">
        <row r="1">
          <cell r="A1" t="str">
            <v>liściasty</v>
          </cell>
        </row>
        <row r="2">
          <cell r="A2" t="str">
            <v>iglasty</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talogi"/>
      <sheetName val="katalog_gmin_PL26"/>
      <sheetName val="wskaźniki_efektu"/>
      <sheetName val="instrukcja"/>
      <sheetName val="tabela_informacyjna_dla_JST"/>
      <sheetName val="tab.1_ZSO_gminy"/>
      <sheetName val="tab.1_ZSO_powiaty"/>
      <sheetName val="tab.2_EE_gminy"/>
      <sheetName val="tab.3_KPP"/>
      <sheetName val="tabela_informacyjna_dla_innych"/>
      <sheetName val="tab.1_ZSO_zarządcy"/>
      <sheetName val="tab.2_EE_org"/>
      <sheetName val="tab.4_BDO"/>
      <sheetName val="Arkusz2"/>
      <sheetName val="tab.5_PDK"/>
      <sheetName val="Arkusz1"/>
      <sheetName val="Sprawozdanie stara wersja"/>
    </sheetNames>
    <sheetDataSet>
      <sheetData sheetId="0" refreshError="1"/>
      <sheetData sheetId="1">
        <row r="1">
          <cell r="F1">
            <v>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#NAME?</fb>
    <v>4</v>
    <v>1</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id="1" name="powiaty_26" displayName="powiaty_26" ref="A2:F16" totalsRowShown="0" headerRowDxfId="73" headerRowBorderDxfId="72" tableBorderDxfId="71">
  <autoFilter ref="A2:F16"/>
  <tableColumns count="6">
    <tableColumn id="1" name="kod powiatu" dataDxfId="70" dataCellStyle="Normalny 2"/>
    <tableColumn id="2" name="powiat" dataDxfId="69" dataCellStyle="Normalny 2"/>
    <tableColumn id="6" name="kod powiatu2" dataDxfId="68" dataCellStyle="Normalny 2">
      <calculatedColumnFormula>powiaty_26[[#This Row],[kod powiatu]]</calculatedColumnFormula>
    </tableColumn>
    <tableColumn id="4" name="kod strefy" dataDxfId="67" dataCellStyle="Normalny 2"/>
    <tableColumn id="5" name="nazwa strefy" dataDxfId="66" dataCellStyle="Normalny 2">
      <calculatedColumnFormula>VLOOKUP(powiaty_26[[#This Row],[kod strefy]],strefy_26[],2,FALSE)</calculatedColumnFormula>
    </tableColumn>
    <tableColumn id="3" name="województwo" dataDxfId="65"/>
  </tableColumns>
  <tableStyleInfo name="TableStyleLight21" showFirstColumn="0" showLastColumn="0" showRowStripes="1" showColumnStripes="0"/>
</table>
</file>

<file path=xl/tables/table2.xml><?xml version="1.0" encoding="utf-8"?>
<table xmlns="http://schemas.openxmlformats.org/spreadsheetml/2006/main" id="2" name="strefy_26" displayName="strefy_26" ref="H2:K4" totalsRowShown="0" headerRowDxfId="64" dataDxfId="62" headerRowBorderDxfId="63" tableBorderDxfId="61">
  <autoFilter ref="H2:K4"/>
  <tableColumns count="4">
    <tableColumn id="1" name="kod strefy" dataDxfId="60"/>
    <tableColumn id="2" name="nazwa strefy" dataDxfId="59"/>
    <tableColumn id="3" name="województo" dataDxfId="58"/>
    <tableColumn id="4" name="do tabel sprawozdawczych" dataDxfId="57">
      <calculatedColumnFormula>CONCATENATE(I3," ",H3)</calculatedColumnFormula>
    </tableColumn>
  </tableColumns>
  <tableStyleInfo name="TableStyleLight21" showFirstColumn="0" showLastColumn="0" showRowStripes="1" showColumnStripes="0"/>
</table>
</file>

<file path=xl/tables/table3.xml><?xml version="1.0" encoding="utf-8"?>
<table xmlns="http://schemas.openxmlformats.org/spreadsheetml/2006/main" id="4" name="kat_zadania" displayName="kat_zadania" ref="M2:N10" totalsRowShown="0" headerRowDxfId="56" dataDxfId="54" headerRowBorderDxfId="55" tableBorderDxfId="53">
  <autoFilter ref="M2:N10"/>
  <tableColumns count="2">
    <tableColumn id="1" name="kod zadania" dataDxfId="52"/>
    <tableColumn id="2" name="nazwa zadania" dataDxfId="51"/>
  </tableColumns>
  <tableStyleInfo name="TableStyleLight21" showFirstColumn="0" showLastColumn="0" showRowStripes="1" showColumnStripes="0"/>
</table>
</file>

<file path=xl/tables/table4.xml><?xml version="1.0" encoding="utf-8"?>
<table xmlns="http://schemas.openxmlformats.org/spreadsheetml/2006/main" id="3" name="gminy_26" displayName="gminy_26" ref="A3:Q105" totalsRowShown="0" headerRowDxfId="45" dataDxfId="43" headerRowBorderDxfId="44" tableBorderDxfId="42">
  <autoFilter ref="A3:Q105">
    <filterColumn colId="4">
      <filters>
        <filter val="włoszczowski"/>
      </filters>
    </filterColumn>
  </autoFilter>
  <tableColumns count="17">
    <tableColumn id="1" name="kod gminy" dataDxfId="41"/>
    <tableColumn id="2" name="nazwa gminy" dataDxfId="40"/>
    <tableColumn id="15" name="kod gminy2" dataDxfId="39">
      <calculatedColumnFormula>gminy_26[[#This Row],[kod gminy]]</calculatedColumnFormula>
    </tableColumn>
    <tableColumn id="3" name="kod powiatu" dataDxfId="38"/>
    <tableColumn id="4" name="nazwa powiatu" dataDxfId="37">
      <calculatedColumnFormula>VLOOKUP(gminy_26[[#This Row],[kod powiatu]],powiaty_26[],katalogi!$B$1,FALSE)</calculatedColumnFormula>
    </tableColumn>
    <tableColumn id="5" name="kod strefy" dataDxfId="36"/>
    <tableColumn id="6" name="nazwa strefy" dataDxfId="35">
      <calculatedColumnFormula>VLOOKUP(gminy_26[[#This Row],[kod strefy]],strefy_26[],2,FALSE)</calculatedColumnFormula>
    </tableColumn>
    <tableColumn id="7" name="ogółem" dataDxfId="34"/>
    <tableColumn id="8" name="2020" dataDxfId="33"/>
    <tableColumn id="9" name="2021" dataDxfId="32"/>
    <tableColumn id="10" name="2022" dataDxfId="31"/>
    <tableColumn id="11" name="2023" dataDxfId="30"/>
    <tableColumn id="12" name="2024" dataDxfId="29"/>
    <tableColumn id="13" name="2025" dataDxfId="28"/>
    <tableColumn id="16" name="2026" dataDxfId="27"/>
    <tableColumn id="17" name="EE" dataDxfId="26"/>
    <tableColumn id="14" name="KPP" dataDxfId="25"/>
  </tableColumns>
  <tableStyleInfo name="TableStyleLight21" showFirstColumn="0" showLastColumn="0" showRowStripes="1" showColumnStripes="0"/>
</table>
</file>

<file path=xl/tables/table5.xml><?xml version="1.0" encoding="utf-8"?>
<table xmlns="http://schemas.openxmlformats.org/spreadsheetml/2006/main" id="5" name="kat_wsk_efektu" displayName="kat_wsk_efektu" ref="A4:E16" totalsRowShown="0" headerRowDxfId="24" headerRowBorderDxfId="23" tableBorderDxfId="22" totalsRowBorderDxfId="21">
  <autoFilter ref="A4:E16"/>
  <tableColumns count="5">
    <tableColumn id="1" name="kod_efektu" dataDxfId="20"/>
    <tableColumn id="2" name="opis" dataDxfId="19"/>
    <tableColumn id="3" name="PM10" dataDxfId="18"/>
    <tableColumn id="4" name="PM2,5" dataDxfId="17"/>
    <tableColumn id="5" name="BaP" dataDxfId="16"/>
  </tableColumns>
  <tableStyleInfo name="TableStyleLight21"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hyperlink" Target="mailto:olga.haber@rudamaleniecka.p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9.bin"/><Relationship Id="rId16" Type="http://schemas.openxmlformats.org/officeDocument/2006/relationships/ctrlProp" Target="../ctrlProps/ctrlProp12.xml"/><Relationship Id="rId1" Type="http://schemas.openxmlformats.org/officeDocument/2006/relationships/hyperlink" Target="https://samorzad.gov.pl/web/gmina-ruda-maleniecka/program-ochrony-powietrza-dla-wojewodztwa-swietokrzyskiego"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tabColor theme="0" tint="-0.499984740745262"/>
  </sheetPr>
  <dimension ref="A1:O16"/>
  <sheetViews>
    <sheetView workbookViewId="0">
      <pane ySplit="11" topLeftCell="A12" activePane="bottomLeft" state="frozen"/>
      <selection pane="bottomLeft" activeCell="B32" sqref="B32"/>
    </sheetView>
  </sheetViews>
  <sheetFormatPr defaultColWidth="9.140625" defaultRowHeight="12" x14ac:dyDescent="0.2"/>
  <cols>
    <col min="1" max="1" width="11.5703125" style="1" customWidth="1"/>
    <col min="2" max="2" width="14.7109375" style="1" customWidth="1"/>
    <col min="3" max="3" width="14.5703125" style="1" bestFit="1" customWidth="1"/>
    <col min="4" max="4" width="10.140625" style="1" customWidth="1"/>
    <col min="5" max="5" width="14.7109375" style="1" bestFit="1" customWidth="1"/>
    <col min="6" max="6" width="15.42578125" style="1" bestFit="1" customWidth="1"/>
    <col min="7" max="7" width="3.7109375" style="1" customWidth="1"/>
    <col min="8" max="8" width="9.7109375" style="1" customWidth="1"/>
    <col min="9" max="9" width="27.28515625" style="1" bestFit="1" customWidth="1"/>
    <col min="10" max="10" width="13.7109375" style="1" bestFit="1" customWidth="1"/>
    <col min="11" max="11" width="32.85546875" style="1" bestFit="1" customWidth="1"/>
    <col min="12" max="12" width="3.7109375" style="1" customWidth="1"/>
    <col min="13" max="13" width="11" style="1" customWidth="1"/>
    <col min="14" max="14" width="111.85546875" style="1" bestFit="1" customWidth="1"/>
    <col min="15" max="16384" width="9.140625" style="1"/>
  </cols>
  <sheetData>
    <row r="1" spans="1:15" x14ac:dyDescent="0.2">
      <c r="A1" s="41">
        <v>1</v>
      </c>
      <c r="B1" s="41">
        <f>A1+1</f>
        <v>2</v>
      </c>
      <c r="C1" s="41">
        <f t="shared" ref="C1:D1" si="0">B1+1</f>
        <v>3</v>
      </c>
      <c r="D1" s="41">
        <f t="shared" si="0"/>
        <v>4</v>
      </c>
      <c r="E1" s="41">
        <f t="shared" ref="E1:F1" si="1">D1+1</f>
        <v>5</v>
      </c>
      <c r="F1" s="41">
        <f t="shared" si="1"/>
        <v>6</v>
      </c>
      <c r="G1" s="41">
        <f t="shared" ref="G1:K1" si="2">F1+1</f>
        <v>7</v>
      </c>
      <c r="H1" s="41">
        <f t="shared" si="2"/>
        <v>8</v>
      </c>
      <c r="I1" s="41">
        <f t="shared" si="2"/>
        <v>9</v>
      </c>
      <c r="J1" s="41">
        <f t="shared" si="2"/>
        <v>10</v>
      </c>
      <c r="K1" s="41">
        <f t="shared" si="2"/>
        <v>11</v>
      </c>
      <c r="L1" s="41">
        <f t="shared" ref="L1" si="3">K1+1</f>
        <v>12</v>
      </c>
      <c r="M1" s="41">
        <f t="shared" ref="M1" si="4">L1+1</f>
        <v>13</v>
      </c>
      <c r="N1" s="41">
        <f t="shared" ref="N1" si="5">M1+1</f>
        <v>14</v>
      </c>
      <c r="O1" s="41">
        <f t="shared" ref="O1" si="6">N1+1</f>
        <v>15</v>
      </c>
    </row>
    <row r="2" spans="1:15" x14ac:dyDescent="0.2">
      <c r="A2" s="42" t="s">
        <v>310</v>
      </c>
      <c r="B2" s="42" t="s">
        <v>0</v>
      </c>
      <c r="C2" s="42" t="s">
        <v>328</v>
      </c>
      <c r="D2" s="42" t="s">
        <v>2</v>
      </c>
      <c r="E2" s="42" t="s">
        <v>3</v>
      </c>
      <c r="F2" s="42" t="s">
        <v>1</v>
      </c>
      <c r="H2" s="42" t="s">
        <v>2</v>
      </c>
      <c r="I2" s="42" t="s">
        <v>3</v>
      </c>
      <c r="J2" s="42" t="s">
        <v>4</v>
      </c>
      <c r="K2" s="42" t="s">
        <v>11</v>
      </c>
      <c r="M2" s="44" t="s">
        <v>19</v>
      </c>
      <c r="N2" s="44" t="s">
        <v>333</v>
      </c>
    </row>
    <row r="3" spans="1:15" x14ac:dyDescent="0.2">
      <c r="A3" s="6" t="s">
        <v>70</v>
      </c>
      <c r="B3" s="5" t="s">
        <v>84</v>
      </c>
      <c r="C3" s="5" t="str">
        <f>powiaty_26[[#This Row],[kod powiatu]]</f>
        <v>2601</v>
      </c>
      <c r="D3" s="5" t="s">
        <v>68</v>
      </c>
      <c r="E3" s="5" t="str">
        <f>VLOOKUP(powiaty_26[[#This Row],[kod strefy]],strefy_26[],2,FALSE)</f>
        <v>strefa świętokrzyska</v>
      </c>
      <c r="F3" s="1" t="s">
        <v>64</v>
      </c>
      <c r="H3" s="4" t="s">
        <v>66</v>
      </c>
      <c r="I3" s="4" t="s">
        <v>67</v>
      </c>
      <c r="J3" s="2" t="s">
        <v>64</v>
      </c>
      <c r="K3" s="1" t="str">
        <f>CONCATENATE(I3," ",H3)</f>
        <v>miasto Kielce PL2601</v>
      </c>
      <c r="M3" s="1" t="s">
        <v>97</v>
      </c>
      <c r="N3" s="1" t="s">
        <v>28</v>
      </c>
    </row>
    <row r="4" spans="1:15" x14ac:dyDescent="0.2">
      <c r="A4" s="6" t="s">
        <v>71</v>
      </c>
      <c r="B4" s="5" t="s">
        <v>85</v>
      </c>
      <c r="C4" s="5" t="str">
        <f>powiaty_26[[#This Row],[kod powiatu]]</f>
        <v>2602</v>
      </c>
      <c r="D4" s="5" t="s">
        <v>68</v>
      </c>
      <c r="E4" s="5" t="str">
        <f>VLOOKUP(powiaty_26[[#This Row],[kod strefy]],strefy_26[],2,FALSE)</f>
        <v>strefa świętokrzyska</v>
      </c>
      <c r="F4" s="1" t="s">
        <v>64</v>
      </c>
      <c r="H4" s="4" t="s">
        <v>68</v>
      </c>
      <c r="I4" s="4" t="s">
        <v>69</v>
      </c>
      <c r="J4" s="2" t="s">
        <v>64</v>
      </c>
      <c r="K4" s="1" t="str">
        <f t="shared" ref="K4" si="7">CONCATENATE(I4," ",H4)</f>
        <v>strefa świętokrzyska PL2602</v>
      </c>
      <c r="M4" s="1" t="s">
        <v>99</v>
      </c>
      <c r="N4" s="1" t="s">
        <v>509</v>
      </c>
    </row>
    <row r="5" spans="1:15" x14ac:dyDescent="0.2">
      <c r="A5" s="6" t="s">
        <v>72</v>
      </c>
      <c r="B5" s="5" t="s">
        <v>86</v>
      </c>
      <c r="C5" s="5" t="str">
        <f>powiaty_26[[#This Row],[kod powiatu]]</f>
        <v>2603</v>
      </c>
      <c r="D5" s="5" t="s">
        <v>68</v>
      </c>
      <c r="E5" s="5" t="str">
        <f>VLOOKUP(powiaty_26[[#This Row],[kod strefy]],strefy_26[],2,FALSE)</f>
        <v>strefa świętokrzyska</v>
      </c>
      <c r="F5" s="1" t="s">
        <v>64</v>
      </c>
      <c r="H5" s="2"/>
      <c r="I5" s="2"/>
      <c r="J5" s="2"/>
      <c r="M5" s="1" t="s">
        <v>101</v>
      </c>
      <c r="N5" s="1" t="s">
        <v>105</v>
      </c>
    </row>
    <row r="6" spans="1:15" x14ac:dyDescent="0.2">
      <c r="A6" s="6" t="s">
        <v>73</v>
      </c>
      <c r="B6" s="5" t="s">
        <v>87</v>
      </c>
      <c r="C6" s="5" t="str">
        <f>powiaty_26[[#This Row],[kod powiatu]]</f>
        <v>2604</v>
      </c>
      <c r="D6" s="5" t="s">
        <v>68</v>
      </c>
      <c r="E6" s="5" t="str">
        <f>VLOOKUP(powiaty_26[[#This Row],[kod strefy]],strefy_26[],2,FALSE)</f>
        <v>strefa świętokrzyska</v>
      </c>
      <c r="F6" s="1" t="s">
        <v>64</v>
      </c>
      <c r="H6" s="2"/>
      <c r="I6" s="2"/>
      <c r="J6" s="2"/>
      <c r="M6" s="1" t="s">
        <v>103</v>
      </c>
      <c r="N6" s="1" t="s">
        <v>106</v>
      </c>
    </row>
    <row r="7" spans="1:15" x14ac:dyDescent="0.2">
      <c r="A7" s="6" t="s">
        <v>74</v>
      </c>
      <c r="B7" s="5" t="s">
        <v>88</v>
      </c>
      <c r="C7" s="5" t="str">
        <f>powiaty_26[[#This Row],[kod powiatu]]</f>
        <v>2605</v>
      </c>
      <c r="D7" s="5" t="s">
        <v>68</v>
      </c>
      <c r="E7" s="5" t="str">
        <f>VLOOKUP(powiaty_26[[#This Row],[kod strefy]],strefy_26[],2,FALSE)</f>
        <v>strefa świętokrzyska</v>
      </c>
      <c r="F7" s="1" t="s">
        <v>64</v>
      </c>
      <c r="H7" s="2"/>
      <c r="I7" s="2"/>
      <c r="J7" s="2"/>
      <c r="M7" s="1" t="s">
        <v>98</v>
      </c>
      <c r="N7" s="1" t="s">
        <v>28</v>
      </c>
    </row>
    <row r="8" spans="1:15" x14ac:dyDescent="0.2">
      <c r="A8" s="6" t="s">
        <v>75</v>
      </c>
      <c r="B8" s="5" t="s">
        <v>89</v>
      </c>
      <c r="C8" s="5" t="str">
        <f>powiaty_26[[#This Row],[kod powiatu]]</f>
        <v>2606</v>
      </c>
      <c r="D8" s="5" t="s">
        <v>68</v>
      </c>
      <c r="E8" s="5" t="str">
        <f>VLOOKUP(powiaty_26[[#This Row],[kod strefy]],strefy_26[],2,FALSE)</f>
        <v>strefa świętokrzyska</v>
      </c>
      <c r="F8" s="1" t="s">
        <v>64</v>
      </c>
      <c r="H8" s="4"/>
      <c r="I8" s="4"/>
      <c r="J8" s="2"/>
      <c r="M8" s="1" t="s">
        <v>100</v>
      </c>
      <c r="N8" s="1" t="s">
        <v>509</v>
      </c>
    </row>
    <row r="9" spans="1:15" x14ac:dyDescent="0.2">
      <c r="A9" s="6" t="s">
        <v>76</v>
      </c>
      <c r="B9" s="5" t="s">
        <v>90</v>
      </c>
      <c r="C9" s="5" t="str">
        <f>powiaty_26[[#This Row],[kod powiatu]]</f>
        <v>2607</v>
      </c>
      <c r="D9" s="5" t="s">
        <v>68</v>
      </c>
      <c r="E9" s="5" t="str">
        <f>VLOOKUP(powiaty_26[[#This Row],[kod strefy]],strefy_26[],2,FALSE)</f>
        <v>strefa świętokrzyska</v>
      </c>
      <c r="F9" s="1" t="s">
        <v>64</v>
      </c>
      <c r="H9" s="4"/>
      <c r="I9" s="4"/>
      <c r="J9" s="2"/>
      <c r="M9" s="1" t="s">
        <v>102</v>
      </c>
      <c r="N9" s="1" t="s">
        <v>105</v>
      </c>
    </row>
    <row r="10" spans="1:15" x14ac:dyDescent="0.2">
      <c r="A10" s="6" t="s">
        <v>77</v>
      </c>
      <c r="B10" s="5" t="s">
        <v>91</v>
      </c>
      <c r="C10" s="5" t="str">
        <f>powiaty_26[[#This Row],[kod powiatu]]</f>
        <v>2608</v>
      </c>
      <c r="D10" s="5" t="s">
        <v>68</v>
      </c>
      <c r="E10" s="5" t="str">
        <f>VLOOKUP(powiaty_26[[#This Row],[kod strefy]],strefy_26[],2,FALSE)</f>
        <v>strefa świętokrzyska</v>
      </c>
      <c r="F10" s="1" t="s">
        <v>64</v>
      </c>
      <c r="H10" s="4"/>
      <c r="I10" s="4"/>
      <c r="J10" s="2"/>
      <c r="M10" s="1" t="s">
        <v>104</v>
      </c>
      <c r="N10" s="1" t="s">
        <v>106</v>
      </c>
    </row>
    <row r="11" spans="1:15" x14ac:dyDescent="0.2">
      <c r="A11" s="6" t="s">
        <v>78</v>
      </c>
      <c r="B11" s="5" t="s">
        <v>92</v>
      </c>
      <c r="C11" s="5" t="str">
        <f>powiaty_26[[#This Row],[kod powiatu]]</f>
        <v>2609</v>
      </c>
      <c r="D11" s="5" t="s">
        <v>68</v>
      </c>
      <c r="E11" s="5" t="str">
        <f>VLOOKUP(powiaty_26[[#This Row],[kod strefy]],strefy_26[],2,FALSE)</f>
        <v>strefa świętokrzyska</v>
      </c>
      <c r="F11" s="1" t="s">
        <v>64</v>
      </c>
      <c r="H11" s="4"/>
      <c r="I11" s="4"/>
      <c r="J11" s="2"/>
    </row>
    <row r="12" spans="1:15" x14ac:dyDescent="0.2">
      <c r="A12" s="6" t="s">
        <v>79</v>
      </c>
      <c r="B12" s="5" t="s">
        <v>93</v>
      </c>
      <c r="C12" s="5" t="str">
        <f>powiaty_26[[#This Row],[kod powiatu]]</f>
        <v>2610</v>
      </c>
      <c r="D12" s="5" t="s">
        <v>68</v>
      </c>
      <c r="E12" s="5" t="str">
        <f>VLOOKUP(powiaty_26[[#This Row],[kod strefy]],strefy_26[],2,FALSE)</f>
        <v>strefa świętokrzyska</v>
      </c>
      <c r="F12" s="1" t="s">
        <v>64</v>
      </c>
      <c r="H12" s="4"/>
      <c r="I12" s="4"/>
      <c r="J12" s="2"/>
    </row>
    <row r="13" spans="1:15" x14ac:dyDescent="0.2">
      <c r="A13" s="6" t="s">
        <v>80</v>
      </c>
      <c r="B13" s="5" t="s">
        <v>94</v>
      </c>
      <c r="C13" s="5" t="str">
        <f>powiaty_26[[#This Row],[kod powiatu]]</f>
        <v>2611</v>
      </c>
      <c r="D13" s="5" t="s">
        <v>68</v>
      </c>
      <c r="E13" s="5" t="str">
        <f>VLOOKUP(powiaty_26[[#This Row],[kod strefy]],strefy_26[],2,FALSE)</f>
        <v>strefa świętokrzyska</v>
      </c>
      <c r="F13" s="1" t="s">
        <v>64</v>
      </c>
      <c r="H13" s="4"/>
      <c r="I13" s="4"/>
      <c r="J13" s="2"/>
    </row>
    <row r="14" spans="1:15" x14ac:dyDescent="0.2">
      <c r="A14" s="6" t="s">
        <v>81</v>
      </c>
      <c r="B14" s="5" t="s">
        <v>95</v>
      </c>
      <c r="C14" s="5" t="str">
        <f>powiaty_26[[#This Row],[kod powiatu]]</f>
        <v>2612</v>
      </c>
      <c r="D14" s="5" t="s">
        <v>68</v>
      </c>
      <c r="E14" s="5" t="str">
        <f>VLOOKUP(powiaty_26[[#This Row],[kod strefy]],strefy_26[],2,FALSE)</f>
        <v>strefa świętokrzyska</v>
      </c>
      <c r="F14" s="1" t="s">
        <v>64</v>
      </c>
      <c r="H14" s="4"/>
      <c r="I14" s="4"/>
      <c r="J14" s="2"/>
    </row>
    <row r="15" spans="1:15" x14ac:dyDescent="0.2">
      <c r="A15" s="6" t="s">
        <v>82</v>
      </c>
      <c r="B15" s="5" t="s">
        <v>96</v>
      </c>
      <c r="C15" s="5" t="str">
        <f>powiaty_26[[#This Row],[kod powiatu]]</f>
        <v>2613</v>
      </c>
      <c r="D15" s="5" t="s">
        <v>68</v>
      </c>
      <c r="E15" s="5" t="str">
        <f>VLOOKUP(powiaty_26[[#This Row],[kod strefy]],strefy_26[],2,FALSE)</f>
        <v>strefa świętokrzyska</v>
      </c>
      <c r="F15" s="1" t="s">
        <v>64</v>
      </c>
      <c r="H15" s="2"/>
      <c r="I15" s="2"/>
      <c r="J15" s="2"/>
    </row>
    <row r="16" spans="1:15" x14ac:dyDescent="0.2">
      <c r="A16" s="6" t="s">
        <v>83</v>
      </c>
      <c r="B16" s="5" t="s">
        <v>309</v>
      </c>
      <c r="C16" s="5" t="str">
        <f>powiaty_26[[#This Row],[kod powiatu]]</f>
        <v>2661</v>
      </c>
      <c r="D16" s="5" t="s">
        <v>66</v>
      </c>
      <c r="E16" s="5" t="str">
        <f>VLOOKUP(powiaty_26[[#This Row],[kod strefy]],strefy_26[],2,FALSE)</f>
        <v>miasto Kielce</v>
      </c>
      <c r="F16" s="1" t="s">
        <v>64</v>
      </c>
      <c r="H16" s="2"/>
      <c r="I16" s="2"/>
      <c r="J16" s="2"/>
    </row>
  </sheetData>
  <phoneticPr fontId="23" type="noConversion"/>
  <pageMargins left="0.7" right="0.7" top="0.75" bottom="0.75" header="0.3" footer="0.3"/>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Z180"/>
  <sheetViews>
    <sheetView workbookViewId="0">
      <pane ySplit="8" topLeftCell="A9" activePane="bottomLeft" state="frozen"/>
      <selection pane="bottomLeft" activeCell="J126" sqref="J126"/>
    </sheetView>
  </sheetViews>
  <sheetFormatPr defaultColWidth="8.85546875" defaultRowHeight="12" x14ac:dyDescent="0.2"/>
  <cols>
    <col min="1" max="1" width="9" style="1" customWidth="1"/>
    <col min="2" max="2" width="17.7109375" style="1" bestFit="1" customWidth="1"/>
    <col min="3" max="3" width="10.85546875" style="1" bestFit="1" customWidth="1"/>
    <col min="4" max="4" width="8.28515625" style="1" customWidth="1"/>
    <col min="5" max="5" width="13.28515625" style="1" customWidth="1"/>
    <col min="6" max="6" width="9.7109375" style="1" customWidth="1"/>
    <col min="7" max="7" width="14.7109375" style="1" bestFit="1" customWidth="1"/>
    <col min="8" max="15" width="7.7109375" style="1" customWidth="1"/>
    <col min="16" max="17" width="17" style="1" customWidth="1"/>
    <col min="18" max="18" width="3.7109375" style="1" customWidth="1"/>
    <col min="19" max="19" width="6.28515625" style="1" customWidth="1"/>
    <col min="20" max="26" width="6.140625" style="1" customWidth="1"/>
    <col min="27" max="16384" width="8.85546875" style="1"/>
  </cols>
  <sheetData>
    <row r="1" spans="1:26" x14ac:dyDescent="0.2">
      <c r="A1" s="41">
        <v>1</v>
      </c>
      <c r="B1" s="41">
        <f t="shared" ref="B1:Q1" si="0">A1+1</f>
        <v>2</v>
      </c>
      <c r="C1" s="41">
        <f t="shared" si="0"/>
        <v>3</v>
      </c>
      <c r="D1" s="41">
        <f t="shared" si="0"/>
        <v>4</v>
      </c>
      <c r="E1" s="41">
        <f t="shared" si="0"/>
        <v>5</v>
      </c>
      <c r="F1" s="41">
        <f t="shared" si="0"/>
        <v>6</v>
      </c>
      <c r="G1" s="41">
        <f t="shared" si="0"/>
        <v>7</v>
      </c>
      <c r="H1" s="41">
        <f t="shared" si="0"/>
        <v>8</v>
      </c>
      <c r="I1" s="41">
        <f t="shared" si="0"/>
        <v>9</v>
      </c>
      <c r="J1" s="41">
        <f t="shared" si="0"/>
        <v>10</v>
      </c>
      <c r="K1" s="41">
        <f t="shared" si="0"/>
        <v>11</v>
      </c>
      <c r="L1" s="41">
        <f t="shared" si="0"/>
        <v>12</v>
      </c>
      <c r="M1" s="41">
        <f t="shared" si="0"/>
        <v>13</v>
      </c>
      <c r="N1" s="41">
        <f t="shared" si="0"/>
        <v>14</v>
      </c>
      <c r="O1" s="41">
        <f t="shared" si="0"/>
        <v>15</v>
      </c>
      <c r="P1" s="41">
        <f t="shared" si="0"/>
        <v>16</v>
      </c>
      <c r="Q1" s="41">
        <f t="shared" si="0"/>
        <v>17</v>
      </c>
      <c r="R1" s="41">
        <f t="shared" ref="R1" si="1">Q1+1</f>
        <v>18</v>
      </c>
      <c r="S1" s="41">
        <f t="shared" ref="S1" si="2">R1+1</f>
        <v>19</v>
      </c>
      <c r="T1" s="41">
        <f t="shared" ref="T1" si="3">S1+1</f>
        <v>20</v>
      </c>
      <c r="U1" s="41">
        <f t="shared" ref="U1" si="4">T1+1</f>
        <v>21</v>
      </c>
      <c r="V1" s="41">
        <f t="shared" ref="V1" si="5">U1+1</f>
        <v>22</v>
      </c>
      <c r="W1" s="41">
        <f t="shared" ref="W1" si="6">V1+1</f>
        <v>23</v>
      </c>
      <c r="X1" s="41">
        <f t="shared" ref="X1" si="7">W1+1</f>
        <v>24</v>
      </c>
      <c r="Y1" s="41">
        <f t="shared" ref="Y1" si="8">X1+1</f>
        <v>25</v>
      </c>
      <c r="Z1" s="41">
        <f t="shared" ref="Z1" si="9">Y1+1</f>
        <v>26</v>
      </c>
    </row>
    <row r="2" spans="1:26" ht="40.15" customHeight="1" x14ac:dyDescent="0.2">
      <c r="H2" s="154" t="s">
        <v>329</v>
      </c>
      <c r="I2" s="155"/>
      <c r="J2" s="155"/>
      <c r="K2" s="155"/>
      <c r="L2" s="155"/>
      <c r="M2" s="155"/>
      <c r="N2" s="155"/>
      <c r="O2" s="156"/>
      <c r="P2" s="58" t="s">
        <v>331</v>
      </c>
      <c r="Q2" s="58" t="s">
        <v>332</v>
      </c>
      <c r="S2" s="118" t="s">
        <v>310</v>
      </c>
      <c r="T2" s="94">
        <v>2020</v>
      </c>
      <c r="U2" s="94">
        <v>2021</v>
      </c>
      <c r="V2" s="94">
        <v>2022</v>
      </c>
      <c r="W2" s="94">
        <v>2023</v>
      </c>
      <c r="X2" s="94">
        <v>2024</v>
      </c>
      <c r="Y2" s="94">
        <v>2025</v>
      </c>
      <c r="Z2" s="94">
        <v>2026</v>
      </c>
    </row>
    <row r="3" spans="1:26" x14ac:dyDescent="0.2">
      <c r="A3" s="44" t="s">
        <v>6</v>
      </c>
      <c r="B3" s="44" t="s">
        <v>5</v>
      </c>
      <c r="C3" s="44" t="s">
        <v>327</v>
      </c>
      <c r="D3" s="44" t="s">
        <v>310</v>
      </c>
      <c r="E3" s="44" t="s">
        <v>311</v>
      </c>
      <c r="F3" s="44" t="s">
        <v>2</v>
      </c>
      <c r="G3" s="44" t="s">
        <v>3</v>
      </c>
      <c r="H3" s="45" t="s">
        <v>312</v>
      </c>
      <c r="I3" s="45" t="s">
        <v>313</v>
      </c>
      <c r="J3" s="45" t="s">
        <v>314</v>
      </c>
      <c r="K3" s="45" t="s">
        <v>315</v>
      </c>
      <c r="L3" s="45" t="s">
        <v>316</v>
      </c>
      <c r="M3" s="45" t="s">
        <v>317</v>
      </c>
      <c r="N3" s="45" t="s">
        <v>318</v>
      </c>
      <c r="O3" s="46" t="s">
        <v>319</v>
      </c>
      <c r="P3" s="46" t="s">
        <v>33</v>
      </c>
      <c r="Q3" s="46" t="s">
        <v>330</v>
      </c>
      <c r="S3" s="119"/>
      <c r="T3" s="117">
        <f>I$1</f>
        <v>9</v>
      </c>
      <c r="U3" s="117">
        <f t="shared" ref="U3:Z3" si="10">J$1</f>
        <v>10</v>
      </c>
      <c r="V3" s="117">
        <f t="shared" si="10"/>
        <v>11</v>
      </c>
      <c r="W3" s="117">
        <f t="shared" si="10"/>
        <v>12</v>
      </c>
      <c r="X3" s="117">
        <f t="shared" si="10"/>
        <v>13</v>
      </c>
      <c r="Y3" s="117">
        <f t="shared" si="10"/>
        <v>14</v>
      </c>
      <c r="Z3" s="117">
        <f t="shared" si="10"/>
        <v>15</v>
      </c>
    </row>
    <row r="4" spans="1:26" hidden="1" x14ac:dyDescent="0.2">
      <c r="A4" s="1" t="s">
        <v>308</v>
      </c>
      <c r="B4" s="1" t="s">
        <v>309</v>
      </c>
      <c r="C4" s="1" t="str">
        <f>gminy_26[[#This Row],[kod gminy]]</f>
        <v>2661011</v>
      </c>
      <c r="D4" s="1" t="s">
        <v>83</v>
      </c>
      <c r="E4" s="1" t="s">
        <v>309</v>
      </c>
      <c r="F4" s="1" t="s">
        <v>66</v>
      </c>
      <c r="G4" s="1" t="str">
        <f>VLOOKUP(gminy_26[[#This Row],[kod strefy]],strefy_26[],2,FALSE)</f>
        <v>miasto Kielce</v>
      </c>
      <c r="H4" s="40">
        <v>469610</v>
      </c>
      <c r="I4" s="40">
        <v>0</v>
      </c>
      <c r="J4" s="40">
        <v>37570</v>
      </c>
      <c r="K4" s="40">
        <v>70440</v>
      </c>
      <c r="L4" s="40">
        <v>79840</v>
      </c>
      <c r="M4" s="40">
        <v>93920</v>
      </c>
      <c r="N4" s="40">
        <v>93920</v>
      </c>
      <c r="O4" s="43">
        <v>93920</v>
      </c>
      <c r="P4" s="43">
        <v>1</v>
      </c>
      <c r="Q4" s="43">
        <v>200</v>
      </c>
      <c r="S4" s="3" t="s">
        <v>70</v>
      </c>
      <c r="T4" s="120">
        <f>SUMIFS(gminy_26[2020],gminy_26[kod powiatu],$S4)</f>
        <v>0</v>
      </c>
      <c r="U4" s="120">
        <f>SUMIFS(gminy_26[2021],gminy_26[kod powiatu],$S4)</f>
        <v>25610</v>
      </c>
      <c r="V4" s="120">
        <f>SUMIFS(gminy_26[2022],gminy_26[kod powiatu],$S4)</f>
        <v>47970</v>
      </c>
      <c r="W4" s="120">
        <f>SUMIFS(gminy_26[2023],gminy_26[kod powiatu],$S4)</f>
        <v>54400</v>
      </c>
      <c r="X4" s="120">
        <f>SUMIFS(gminy_26[2024],gminy_26[kod powiatu],$S4)</f>
        <v>151140</v>
      </c>
      <c r="Y4" s="120">
        <f>SUMIFS(gminy_26[2025],gminy_26[kod powiatu],$S4)</f>
        <v>151140</v>
      </c>
      <c r="Z4" s="120">
        <f>SUMIFS(gminy_26[2026],gminy_26[kod powiatu],$S4)</f>
        <v>180210</v>
      </c>
    </row>
    <row r="5" spans="1:26" hidden="1" x14ac:dyDescent="0.2">
      <c r="A5" s="1" t="s">
        <v>107</v>
      </c>
      <c r="B5" s="1" t="s">
        <v>108</v>
      </c>
      <c r="C5" s="1" t="str">
        <f>gminy_26[[#This Row],[kod gminy]]</f>
        <v>2606012</v>
      </c>
      <c r="D5" s="1" t="s">
        <v>75</v>
      </c>
      <c r="E5" s="1" t="str">
        <f>VLOOKUP(gminy_26[[#This Row],[kod powiatu]],powiaty_26[],katalogi!$B$1,FALSE)</f>
        <v>opatowski</v>
      </c>
      <c r="F5" s="1" t="s">
        <v>68</v>
      </c>
      <c r="G5" s="1" t="str">
        <f>VLOOKUP(gminy_26[[#This Row],[kod strefy]],strefy_26[],2,FALSE)</f>
        <v>strefa świętokrzyska</v>
      </c>
      <c r="H5" s="40">
        <v>34360</v>
      </c>
      <c r="I5" s="40">
        <v>0</v>
      </c>
      <c r="J5" s="40">
        <v>300</v>
      </c>
      <c r="K5" s="40">
        <v>550</v>
      </c>
      <c r="L5" s="40">
        <v>630</v>
      </c>
      <c r="M5" s="40">
        <v>9940</v>
      </c>
      <c r="N5" s="40">
        <v>9940</v>
      </c>
      <c r="O5" s="43">
        <v>13000</v>
      </c>
      <c r="P5" s="43">
        <v>1</v>
      </c>
      <c r="Q5" s="43">
        <v>5</v>
      </c>
      <c r="S5" s="3" t="s">
        <v>71</v>
      </c>
      <c r="T5" s="120">
        <f>SUMIFS(gminy_26[2020],gminy_26[kod powiatu],$S5)</f>
        <v>0</v>
      </c>
      <c r="U5" s="120">
        <f>SUMIFS(gminy_26[2021],gminy_26[kod powiatu],$S5)</f>
        <v>35820</v>
      </c>
      <c r="V5" s="120">
        <f>SUMIFS(gminy_26[2022],gminy_26[kod powiatu],$S5)</f>
        <v>67110</v>
      </c>
      <c r="W5" s="120">
        <f>SUMIFS(gminy_26[2023],gminy_26[kod powiatu],$S5)</f>
        <v>76070</v>
      </c>
      <c r="X5" s="120">
        <f>SUMIFS(gminy_26[2024],gminy_26[kod powiatu],$S5)</f>
        <v>209790</v>
      </c>
      <c r="Y5" s="120">
        <f>SUMIFS(gminy_26[2025],gminy_26[kod powiatu],$S5)</f>
        <v>209790</v>
      </c>
      <c r="Z5" s="120">
        <f>SUMIFS(gminy_26[2026],gminy_26[kod powiatu],$S5)</f>
        <v>249900</v>
      </c>
    </row>
    <row r="6" spans="1:26" hidden="1" x14ac:dyDescent="0.2">
      <c r="A6" s="1" t="s">
        <v>109</v>
      </c>
      <c r="B6" s="1" t="s">
        <v>110</v>
      </c>
      <c r="C6" s="1" t="str">
        <f>gminy_26[[#This Row],[kod gminy]]</f>
        <v>2607022</v>
      </c>
      <c r="D6" s="1" t="s">
        <v>76</v>
      </c>
      <c r="E6" s="1" t="str">
        <f>VLOOKUP(gminy_26[[#This Row],[kod powiatu]],powiaty_26[],katalogi!$B$1,FALSE)</f>
        <v>ostrowiecki</v>
      </c>
      <c r="F6" s="1" t="s">
        <v>68</v>
      </c>
      <c r="G6" s="1" t="str">
        <f>VLOOKUP(gminy_26[[#This Row],[kod strefy]],strefy_26[],2,FALSE)</f>
        <v>strefa świętokrzyska</v>
      </c>
      <c r="H6" s="40">
        <v>37380</v>
      </c>
      <c r="I6" s="40">
        <v>0</v>
      </c>
      <c r="J6" s="40">
        <v>1570</v>
      </c>
      <c r="K6" s="40">
        <v>2930</v>
      </c>
      <c r="L6" s="40">
        <v>3320</v>
      </c>
      <c r="M6" s="40">
        <v>9260</v>
      </c>
      <c r="N6" s="40">
        <v>9260</v>
      </c>
      <c r="O6" s="43">
        <v>11040</v>
      </c>
      <c r="P6" s="43">
        <v>1</v>
      </c>
      <c r="Q6" s="43">
        <v>5</v>
      </c>
      <c r="S6" s="3" t="s">
        <v>72</v>
      </c>
      <c r="T6" s="120">
        <f>SUMIFS(gminy_26[2020],gminy_26[kod powiatu],$S6)</f>
        <v>0</v>
      </c>
      <c r="U6" s="120">
        <f>SUMIFS(gminy_26[2021],gminy_26[kod powiatu],$S6)</f>
        <v>6800</v>
      </c>
      <c r="V6" s="120">
        <f>SUMIFS(gminy_26[2022],gminy_26[kod powiatu],$S6)</f>
        <v>12710</v>
      </c>
      <c r="W6" s="120">
        <f>SUMIFS(gminy_26[2023],gminy_26[kod powiatu],$S6)</f>
        <v>14420</v>
      </c>
      <c r="X6" s="120">
        <f>SUMIFS(gminy_26[2024],gminy_26[kod powiatu],$S6)</f>
        <v>64320</v>
      </c>
      <c r="Y6" s="120">
        <f>SUMIFS(gminy_26[2025],gminy_26[kod powiatu],$S6)</f>
        <v>64320</v>
      </c>
      <c r="Z6" s="120">
        <f>SUMIFS(gminy_26[2026],gminy_26[kod powiatu],$S6)</f>
        <v>80110</v>
      </c>
    </row>
    <row r="7" spans="1:26" hidden="1" x14ac:dyDescent="0.2">
      <c r="A7" s="1" t="s">
        <v>111</v>
      </c>
      <c r="B7" s="1" t="s">
        <v>112</v>
      </c>
      <c r="C7" s="1" t="str">
        <f>gminy_26[[#This Row],[kod gminy]]</f>
        <v>2603012</v>
      </c>
      <c r="D7" s="1" t="s">
        <v>72</v>
      </c>
      <c r="E7" s="1" t="str">
        <f>VLOOKUP(gminy_26[[#This Row],[kod powiatu]],powiaty_26[],katalogi!$B$1,FALSE)</f>
        <v>kazimierski</v>
      </c>
      <c r="F7" s="1" t="s">
        <v>68</v>
      </c>
      <c r="G7" s="1" t="str">
        <f>VLOOKUP(gminy_26[[#This Row],[kod strefy]],strefy_26[],2,FALSE)</f>
        <v>strefa świętokrzyska</v>
      </c>
      <c r="H7" s="40">
        <v>29250</v>
      </c>
      <c r="I7" s="40">
        <v>0</v>
      </c>
      <c r="J7" s="40">
        <v>790</v>
      </c>
      <c r="K7" s="40">
        <v>1470</v>
      </c>
      <c r="L7" s="40">
        <v>1670</v>
      </c>
      <c r="M7" s="40">
        <v>7790</v>
      </c>
      <c r="N7" s="40">
        <v>7790</v>
      </c>
      <c r="O7" s="43">
        <v>9740</v>
      </c>
      <c r="P7" s="43">
        <v>1</v>
      </c>
      <c r="Q7" s="43">
        <v>5</v>
      </c>
      <c r="S7" s="3" t="s">
        <v>73</v>
      </c>
      <c r="T7" s="120">
        <f>SUMIFS(gminy_26[2020],gminy_26[kod powiatu],$S7)</f>
        <v>0</v>
      </c>
      <c r="U7" s="120">
        <f>SUMIFS(gminy_26[2021],gminy_26[kod powiatu],$S7)</f>
        <v>92530</v>
      </c>
      <c r="V7" s="120">
        <f>SUMIFS(gminy_26[2022],gminy_26[kod powiatu],$S7)</f>
        <v>173390</v>
      </c>
      <c r="W7" s="120">
        <f>SUMIFS(gminy_26[2023],gminy_26[kod powiatu],$S7)</f>
        <v>196460</v>
      </c>
      <c r="X7" s="120">
        <f>SUMIFS(gminy_26[2024],gminy_26[kod powiatu],$S7)</f>
        <v>587180</v>
      </c>
      <c r="Y7" s="120">
        <f>SUMIFS(gminy_26[2025],gminy_26[kod powiatu],$S7)</f>
        <v>587180</v>
      </c>
      <c r="Z7" s="120">
        <f>SUMIFS(gminy_26[2026],gminy_26[kod powiatu],$S7)</f>
        <v>705840</v>
      </c>
    </row>
    <row r="8" spans="1:26" hidden="1" x14ac:dyDescent="0.2">
      <c r="A8" s="1" t="s">
        <v>113</v>
      </c>
      <c r="B8" s="1" t="s">
        <v>114</v>
      </c>
      <c r="C8" s="1" t="str">
        <f>gminy_26[[#This Row],[kod gminy]]</f>
        <v>2604012</v>
      </c>
      <c r="D8" s="1" t="s">
        <v>73</v>
      </c>
      <c r="E8" s="1" t="str">
        <f>VLOOKUP(gminy_26[[#This Row],[kod powiatu]],powiaty_26[],katalogi!$B$1,FALSE)</f>
        <v>kielecki</v>
      </c>
      <c r="F8" s="1" t="s">
        <v>68</v>
      </c>
      <c r="G8" s="1" t="str">
        <f>VLOOKUP(gminy_26[[#This Row],[kod strefy]],strefy_26[],2,FALSE)</f>
        <v>strefa świętokrzyska</v>
      </c>
      <c r="H8" s="40">
        <v>123210</v>
      </c>
      <c r="I8" s="40">
        <v>0</v>
      </c>
      <c r="J8" s="40">
        <v>4940</v>
      </c>
      <c r="K8" s="40">
        <v>9260</v>
      </c>
      <c r="L8" s="40">
        <v>10490</v>
      </c>
      <c r="M8" s="40">
        <v>30790</v>
      </c>
      <c r="N8" s="40">
        <v>30790</v>
      </c>
      <c r="O8" s="43">
        <v>36940</v>
      </c>
      <c r="P8" s="43">
        <v>1</v>
      </c>
      <c r="Q8" s="43">
        <v>5</v>
      </c>
      <c r="S8" s="3" t="s">
        <v>74</v>
      </c>
      <c r="T8" s="120">
        <f>SUMIFS(gminy_26[2020],gminy_26[kod powiatu],$S8)</f>
        <v>0</v>
      </c>
      <c r="U8" s="120">
        <f>SUMIFS(gminy_26[2021],gminy_26[kod powiatu],$S8)</f>
        <v>21050</v>
      </c>
      <c r="V8" s="120">
        <f>SUMIFS(gminy_26[2022],gminy_26[kod powiatu],$S8)</f>
        <v>39410</v>
      </c>
      <c r="W8" s="120">
        <f>SUMIFS(gminy_26[2023],gminy_26[kod powiatu],$S8)</f>
        <v>44670</v>
      </c>
      <c r="X8" s="120">
        <f>SUMIFS(gminy_26[2024],gminy_26[kod powiatu],$S8)</f>
        <v>183160</v>
      </c>
      <c r="Y8" s="120">
        <f>SUMIFS(gminy_26[2025],gminy_26[kod powiatu],$S8)</f>
        <v>183160</v>
      </c>
      <c r="Z8" s="120">
        <f>SUMIFS(gminy_26[2026],gminy_26[kod powiatu],$S8)</f>
        <v>226700</v>
      </c>
    </row>
    <row r="9" spans="1:26" hidden="1" x14ac:dyDescent="0.2">
      <c r="A9" s="1" t="s">
        <v>115</v>
      </c>
      <c r="B9" s="1" t="s">
        <v>116</v>
      </c>
      <c r="C9" s="1" t="str">
        <f>gminy_26[[#This Row],[kod gminy]]</f>
        <v>2610022</v>
      </c>
      <c r="D9" s="1" t="s">
        <v>79</v>
      </c>
      <c r="E9" s="1" t="str">
        <f>VLOOKUP(gminy_26[[#This Row],[kod powiatu]],powiaty_26[],katalogi!$B$1,FALSE)</f>
        <v>skarżyski</v>
      </c>
      <c r="F9" s="1" t="s">
        <v>68</v>
      </c>
      <c r="G9" s="1" t="str">
        <f>VLOOKUP(gminy_26[[#This Row],[kod strefy]],strefy_26[],2,FALSE)</f>
        <v>strefa świętokrzyska</v>
      </c>
      <c r="H9" s="40">
        <v>77710</v>
      </c>
      <c r="I9" s="40">
        <v>0</v>
      </c>
      <c r="J9" s="40">
        <v>2060</v>
      </c>
      <c r="K9" s="40">
        <v>3860</v>
      </c>
      <c r="L9" s="40">
        <v>4370</v>
      </c>
      <c r="M9" s="40">
        <v>20740</v>
      </c>
      <c r="N9" s="40">
        <v>20740</v>
      </c>
      <c r="O9" s="43">
        <v>25940</v>
      </c>
      <c r="P9" s="43">
        <v>1</v>
      </c>
      <c r="Q9" s="43">
        <v>5</v>
      </c>
      <c r="S9" s="3" t="s">
        <v>75</v>
      </c>
      <c r="T9" s="120">
        <f>SUMIFS(gminy_26[2020],gminy_26[kod powiatu],$S9)</f>
        <v>0</v>
      </c>
      <c r="U9" s="120">
        <f>SUMIFS(gminy_26[2021],gminy_26[kod powiatu],$S9)</f>
        <v>2680</v>
      </c>
      <c r="V9" s="120">
        <f>SUMIFS(gminy_26[2022],gminy_26[kod powiatu],$S9)</f>
        <v>4980</v>
      </c>
      <c r="W9" s="120">
        <f>SUMIFS(gminy_26[2023],gminy_26[kod powiatu],$S9)</f>
        <v>5660</v>
      </c>
      <c r="X9" s="120">
        <f>SUMIFS(gminy_26[2024],gminy_26[kod powiatu],$S9)</f>
        <v>92630</v>
      </c>
      <c r="Y9" s="120">
        <f>SUMIFS(gminy_26[2025],gminy_26[kod powiatu],$S9)</f>
        <v>92630</v>
      </c>
      <c r="Z9" s="120">
        <f>SUMIFS(gminy_26[2026],gminy_26[kod powiatu],$S9)</f>
        <v>121290</v>
      </c>
    </row>
    <row r="10" spans="1:26" hidden="1" x14ac:dyDescent="0.2">
      <c r="A10" s="1" t="s">
        <v>117</v>
      </c>
      <c r="B10" s="1" t="s">
        <v>118</v>
      </c>
      <c r="C10" s="1" t="str">
        <f>gminy_26[[#This Row],[kod gminy]]</f>
        <v>2607032</v>
      </c>
      <c r="D10" s="1" t="s">
        <v>76</v>
      </c>
      <c r="E10" s="1" t="str">
        <f>VLOOKUP(gminy_26[[#This Row],[kod powiatu]],powiaty_26[],katalogi!$B$1,FALSE)</f>
        <v>ostrowiecki</v>
      </c>
      <c r="F10" s="1" t="s">
        <v>68</v>
      </c>
      <c r="G10" s="1" t="str">
        <f>VLOOKUP(gminy_26[[#This Row],[kod strefy]],strefy_26[],2,FALSE)</f>
        <v>strefa świętokrzyska</v>
      </c>
      <c r="H10" s="40">
        <v>106270</v>
      </c>
      <c r="I10" s="40">
        <v>0</v>
      </c>
      <c r="J10" s="40">
        <v>4450</v>
      </c>
      <c r="K10" s="40">
        <v>8340</v>
      </c>
      <c r="L10" s="40">
        <v>9450</v>
      </c>
      <c r="M10" s="40">
        <v>26320</v>
      </c>
      <c r="N10" s="40">
        <v>26320</v>
      </c>
      <c r="O10" s="43">
        <v>31390</v>
      </c>
      <c r="P10" s="43">
        <v>1</v>
      </c>
      <c r="Q10" s="43">
        <v>5</v>
      </c>
      <c r="S10" s="3" t="s">
        <v>76</v>
      </c>
      <c r="T10" s="120">
        <f>SUMIFS(gminy_26[2020],gminy_26[kod powiatu],$S10)</f>
        <v>0</v>
      </c>
      <c r="U10" s="120">
        <f>SUMIFS(gminy_26[2021],gminy_26[kod powiatu],$S10)</f>
        <v>34780</v>
      </c>
      <c r="V10" s="120">
        <f>SUMIFS(gminy_26[2022],gminy_26[kod powiatu],$S10)</f>
        <v>65180</v>
      </c>
      <c r="W10" s="120">
        <f>SUMIFS(gminy_26[2023],gminy_26[kod powiatu],$S10)</f>
        <v>73870</v>
      </c>
      <c r="X10" s="120">
        <f>SUMIFS(gminy_26[2024],gminy_26[kod powiatu],$S10)</f>
        <v>199550</v>
      </c>
      <c r="Y10" s="120">
        <f>SUMIFS(gminy_26[2025],gminy_26[kod powiatu],$S10)</f>
        <v>199550</v>
      </c>
      <c r="Z10" s="120">
        <f>SUMIFS(gminy_26[2026],gminy_26[kod powiatu],$S10)</f>
        <v>237080</v>
      </c>
    </row>
    <row r="11" spans="1:26" hidden="1" x14ac:dyDescent="0.2">
      <c r="A11" s="1" t="s">
        <v>119</v>
      </c>
      <c r="B11" s="1" t="s">
        <v>120</v>
      </c>
      <c r="C11" s="1" t="str">
        <f>gminy_26[[#This Row],[kod gminy]]</f>
        <v>2604023</v>
      </c>
      <c r="D11" s="1" t="s">
        <v>73</v>
      </c>
      <c r="E11" s="1" t="str">
        <f>VLOOKUP(gminy_26[[#This Row],[kod powiatu]],powiaty_26[],katalogi!$B$1,FALSE)</f>
        <v>kielecki</v>
      </c>
      <c r="F11" s="1" t="s">
        <v>68</v>
      </c>
      <c r="G11" s="1" t="str">
        <f>VLOOKUP(gminy_26[[#This Row],[kod strefy]],strefy_26[],2,FALSE)</f>
        <v>strefa świętokrzyska</v>
      </c>
      <c r="H11" s="40">
        <v>129960</v>
      </c>
      <c r="I11" s="40">
        <v>0</v>
      </c>
      <c r="J11" s="40">
        <v>5080</v>
      </c>
      <c r="K11" s="40">
        <v>9520</v>
      </c>
      <c r="L11" s="40">
        <v>10790</v>
      </c>
      <c r="M11" s="40">
        <v>32640</v>
      </c>
      <c r="N11" s="40">
        <v>32640</v>
      </c>
      <c r="O11" s="43">
        <v>39290</v>
      </c>
      <c r="P11" s="43">
        <v>1</v>
      </c>
      <c r="Q11" s="43">
        <v>20</v>
      </c>
      <c r="S11" s="3" t="s">
        <v>77</v>
      </c>
      <c r="T11" s="120">
        <f>SUMIFS(gminy_26[2020],gminy_26[kod powiatu],$S11)</f>
        <v>0</v>
      </c>
      <c r="U11" s="120">
        <f>SUMIFS(gminy_26[2021],gminy_26[kod powiatu],$S11)</f>
        <v>4280</v>
      </c>
      <c r="V11" s="120">
        <f>SUMIFS(gminy_26[2022],gminy_26[kod powiatu],$S11)</f>
        <v>8010</v>
      </c>
      <c r="W11" s="120">
        <f>SUMIFS(gminy_26[2023],gminy_26[kod powiatu],$S11)</f>
        <v>9070</v>
      </c>
      <c r="X11" s="120">
        <f>SUMIFS(gminy_26[2024],gminy_26[kod powiatu],$S11)</f>
        <v>101300</v>
      </c>
      <c r="Y11" s="120">
        <f>SUMIFS(gminy_26[2025],gminy_26[kod powiatu],$S11)</f>
        <v>101300</v>
      </c>
      <c r="Z11" s="120">
        <f>SUMIFS(gminy_26[2026],gminy_26[kod powiatu],$S11)</f>
        <v>131530</v>
      </c>
    </row>
    <row r="12" spans="1:26" hidden="1" x14ac:dyDescent="0.2">
      <c r="A12" s="1" t="s">
        <v>121</v>
      </c>
      <c r="B12" s="1" t="s">
        <v>122</v>
      </c>
      <c r="C12" s="1" t="str">
        <f>gminy_26[[#This Row],[kod gminy]]</f>
        <v>2612012</v>
      </c>
      <c r="D12" s="1" t="s">
        <v>81</v>
      </c>
      <c r="E12" s="1" t="str">
        <f>VLOOKUP(gminy_26[[#This Row],[kod powiatu]],powiaty_26[],katalogi!$B$1,FALSE)</f>
        <v>staszowski</v>
      </c>
      <c r="F12" s="1" t="s">
        <v>68</v>
      </c>
      <c r="G12" s="1" t="str">
        <f>VLOOKUP(gminy_26[[#This Row],[kod strefy]],strefy_26[],2,FALSE)</f>
        <v>strefa świętokrzyska</v>
      </c>
      <c r="H12" s="40">
        <v>75700</v>
      </c>
      <c r="I12" s="40">
        <v>0</v>
      </c>
      <c r="J12" s="40">
        <v>4460</v>
      </c>
      <c r="K12" s="40">
        <v>8350</v>
      </c>
      <c r="L12" s="40">
        <v>9460</v>
      </c>
      <c r="M12" s="40">
        <v>17140</v>
      </c>
      <c r="N12" s="40">
        <v>17140</v>
      </c>
      <c r="O12" s="43">
        <v>19150</v>
      </c>
      <c r="P12" s="43">
        <v>1</v>
      </c>
      <c r="Q12" s="43">
        <v>5</v>
      </c>
      <c r="S12" s="3" t="s">
        <v>78</v>
      </c>
      <c r="T12" s="120">
        <f>SUMIFS(gminy_26[2020],gminy_26[kod powiatu],$S12)</f>
        <v>0</v>
      </c>
      <c r="U12" s="120">
        <f>SUMIFS(gminy_26[2021],gminy_26[kod powiatu],$S12)</f>
        <v>12250</v>
      </c>
      <c r="V12" s="120">
        <f>SUMIFS(gminy_26[2022],gminy_26[kod powiatu],$S12)</f>
        <v>22900</v>
      </c>
      <c r="W12" s="120">
        <f>SUMIFS(gminy_26[2023],gminy_26[kod powiatu],$S12)</f>
        <v>25970</v>
      </c>
      <c r="X12" s="120">
        <f>SUMIFS(gminy_26[2024],gminy_26[kod powiatu],$S12)</f>
        <v>92860</v>
      </c>
      <c r="Y12" s="120">
        <f>SUMIFS(gminy_26[2025],gminy_26[kod powiatu],$S12)</f>
        <v>92860</v>
      </c>
      <c r="Z12" s="120">
        <f>SUMIFS(gminy_26[2026],gminy_26[kod powiatu],$S12)</f>
        <v>113620</v>
      </c>
    </row>
    <row r="13" spans="1:26" hidden="1" x14ac:dyDescent="0.2">
      <c r="A13" s="1" t="s">
        <v>123</v>
      </c>
      <c r="B13" s="1" t="s">
        <v>124</v>
      </c>
      <c r="C13" s="1" t="str">
        <f>gminy_26[[#This Row],[kod gminy]]</f>
        <v>2611022</v>
      </c>
      <c r="D13" s="1" t="s">
        <v>80</v>
      </c>
      <c r="E13" s="1" t="str">
        <f>VLOOKUP(gminy_26[[#This Row],[kod powiatu]],powiaty_26[],katalogi!$B$1,FALSE)</f>
        <v>starachowicki</v>
      </c>
      <c r="F13" s="1" t="s">
        <v>68</v>
      </c>
      <c r="G13" s="1" t="str">
        <f>VLOOKUP(gminy_26[[#This Row],[kod strefy]],strefy_26[],2,FALSE)</f>
        <v>strefa świętokrzyska</v>
      </c>
      <c r="H13" s="40">
        <v>104260</v>
      </c>
      <c r="I13" s="40">
        <v>0</v>
      </c>
      <c r="J13" s="40">
        <v>2970</v>
      </c>
      <c r="K13" s="40">
        <v>5560</v>
      </c>
      <c r="L13" s="40">
        <v>6300</v>
      </c>
      <c r="M13" s="40">
        <v>27570</v>
      </c>
      <c r="N13" s="40">
        <v>27570</v>
      </c>
      <c r="O13" s="43">
        <v>34290</v>
      </c>
      <c r="P13" s="43">
        <v>1</v>
      </c>
      <c r="Q13" s="43">
        <v>5</v>
      </c>
      <c r="S13" s="3" t="s">
        <v>79</v>
      </c>
      <c r="T13" s="120">
        <f>SUMIFS(gminy_26[2020],gminy_26[kod powiatu],$S13)</f>
        <v>0</v>
      </c>
      <c r="U13" s="120">
        <f>SUMIFS(gminy_26[2021],gminy_26[kod powiatu],$S13)</f>
        <v>14480</v>
      </c>
      <c r="V13" s="120">
        <f>SUMIFS(gminy_26[2022],gminy_26[kod powiatu],$S13)</f>
        <v>27140</v>
      </c>
      <c r="W13" s="120">
        <f>SUMIFS(gminy_26[2023],gminy_26[kod powiatu],$S13)</f>
        <v>30740</v>
      </c>
      <c r="X13" s="120">
        <f>SUMIFS(gminy_26[2024],gminy_26[kod powiatu],$S13)</f>
        <v>145850</v>
      </c>
      <c r="Y13" s="120">
        <f>SUMIFS(gminy_26[2025],gminy_26[kod powiatu],$S13)</f>
        <v>145850</v>
      </c>
      <c r="Z13" s="120">
        <f>SUMIFS(gminy_26[2026],gminy_26[kod powiatu],$S13)</f>
        <v>182410</v>
      </c>
    </row>
    <row r="14" spans="1:26" hidden="1" x14ac:dyDescent="0.2">
      <c r="A14" s="1" t="s">
        <v>125</v>
      </c>
      <c r="B14" s="1" t="s">
        <v>126</v>
      </c>
      <c r="C14" s="1" t="str">
        <f>gminy_26[[#This Row],[kod gminy]]</f>
        <v>2601013</v>
      </c>
      <c r="D14" s="1" t="s">
        <v>70</v>
      </c>
      <c r="E14" s="1" t="str">
        <f>VLOOKUP(gminy_26[[#This Row],[kod powiatu]],powiaty_26[],katalogi!$B$1,FALSE)</f>
        <v>buski</v>
      </c>
      <c r="F14" s="1" t="s">
        <v>68</v>
      </c>
      <c r="G14" s="1" t="str">
        <f>VLOOKUP(gminy_26[[#This Row],[kod strefy]],strefy_26[],2,FALSE)</f>
        <v>strefa świętokrzyska</v>
      </c>
      <c r="H14" s="40">
        <v>236640</v>
      </c>
      <c r="I14" s="40">
        <v>0</v>
      </c>
      <c r="J14" s="40">
        <v>10010</v>
      </c>
      <c r="K14" s="40">
        <v>18760</v>
      </c>
      <c r="L14" s="40">
        <v>21270</v>
      </c>
      <c r="M14" s="40">
        <v>58480</v>
      </c>
      <c r="N14" s="40">
        <v>58480</v>
      </c>
      <c r="O14" s="43">
        <v>69640</v>
      </c>
      <c r="P14" s="43">
        <v>1</v>
      </c>
      <c r="Q14" s="43">
        <v>20</v>
      </c>
      <c r="S14" s="3" t="s">
        <v>80</v>
      </c>
      <c r="T14" s="120">
        <f>SUMIFS(gminy_26[2020],gminy_26[kod powiatu],$S14)</f>
        <v>0</v>
      </c>
      <c r="U14" s="120">
        <f>SUMIFS(gminy_26[2021],gminy_26[kod powiatu],$S14)</f>
        <v>19370</v>
      </c>
      <c r="V14" s="120">
        <f>SUMIFS(gminy_26[2022],gminy_26[kod powiatu],$S14)</f>
        <v>36300</v>
      </c>
      <c r="W14" s="120">
        <f>SUMIFS(gminy_26[2023],gminy_26[kod powiatu],$S14)</f>
        <v>41120</v>
      </c>
      <c r="X14" s="120">
        <f>SUMIFS(gminy_26[2024],gminy_26[kod powiatu],$S14)</f>
        <v>180100</v>
      </c>
      <c r="Y14" s="120">
        <f>SUMIFS(gminy_26[2025],gminy_26[kod powiatu],$S14)</f>
        <v>180100</v>
      </c>
      <c r="Z14" s="120">
        <f>SUMIFS(gminy_26[2026],gminy_26[kod powiatu],$S14)</f>
        <v>223990</v>
      </c>
    </row>
    <row r="15" spans="1:26" hidden="1" x14ac:dyDescent="0.2">
      <c r="A15" s="1" t="s">
        <v>127</v>
      </c>
      <c r="B15" s="1" t="s">
        <v>128</v>
      </c>
      <c r="C15" s="1" t="str">
        <f>gminy_26[[#This Row],[kod gminy]]</f>
        <v>2604033</v>
      </c>
      <c r="D15" s="1" t="s">
        <v>73</v>
      </c>
      <c r="E15" s="1" t="str">
        <f>VLOOKUP(gminy_26[[#This Row],[kod powiatu]],powiaty_26[],katalogi!$B$1,FALSE)</f>
        <v>kielecki</v>
      </c>
      <c r="F15" s="1" t="s">
        <v>68</v>
      </c>
      <c r="G15" s="1" t="str">
        <f>VLOOKUP(gminy_26[[#This Row],[kod strefy]],strefy_26[],2,FALSE)</f>
        <v>strefa świętokrzyska</v>
      </c>
      <c r="H15" s="40">
        <v>159720</v>
      </c>
      <c r="I15" s="40">
        <v>0</v>
      </c>
      <c r="J15" s="40">
        <v>6330</v>
      </c>
      <c r="K15" s="40">
        <v>11860</v>
      </c>
      <c r="L15" s="40">
        <v>13440</v>
      </c>
      <c r="M15" s="40">
        <v>40010</v>
      </c>
      <c r="N15" s="40">
        <v>40010</v>
      </c>
      <c r="O15" s="43">
        <v>48070</v>
      </c>
      <c r="P15" s="43">
        <v>1</v>
      </c>
      <c r="Q15" s="43">
        <v>20</v>
      </c>
      <c r="S15" s="3" t="s">
        <v>81</v>
      </c>
      <c r="T15" s="120">
        <f>SUMIFS(gminy_26[2020],gminy_26[kod powiatu],$S15)</f>
        <v>0</v>
      </c>
      <c r="U15" s="120">
        <f>SUMIFS(gminy_26[2021],gminy_26[kod powiatu],$S15)</f>
        <v>37080</v>
      </c>
      <c r="V15" s="120">
        <f>SUMIFS(gminy_26[2022],gminy_26[kod powiatu],$S15)</f>
        <v>69470</v>
      </c>
      <c r="W15" s="120">
        <f>SUMIFS(gminy_26[2023],gminy_26[kod powiatu],$S15)</f>
        <v>78710</v>
      </c>
      <c r="X15" s="120">
        <f>SUMIFS(gminy_26[2024],gminy_26[kod powiatu],$S15)</f>
        <v>141990</v>
      </c>
      <c r="Y15" s="120">
        <f>SUMIFS(gminy_26[2025],gminy_26[kod powiatu],$S15)</f>
        <v>141990</v>
      </c>
      <c r="Z15" s="120">
        <f>SUMIFS(gminy_26[2026],gminy_26[kod powiatu],$S15)</f>
        <v>158460</v>
      </c>
    </row>
    <row r="16" spans="1:26" hidden="1" x14ac:dyDescent="0.2">
      <c r="A16" s="1" t="s">
        <v>129</v>
      </c>
      <c r="B16" s="1" t="s">
        <v>130</v>
      </c>
      <c r="C16" s="1" t="str">
        <f>gminy_26[[#This Row],[kod gminy]]</f>
        <v>2604043</v>
      </c>
      <c r="D16" s="1" t="s">
        <v>73</v>
      </c>
      <c r="E16" s="1" t="str">
        <f>VLOOKUP(gminy_26[[#This Row],[kod powiatu]],powiaty_26[],katalogi!$B$1,FALSE)</f>
        <v>kielecki</v>
      </c>
      <c r="F16" s="1" t="s">
        <v>68</v>
      </c>
      <c r="G16" s="1" t="str">
        <f>VLOOKUP(gminy_26[[#This Row],[kod strefy]],strefy_26[],2,FALSE)</f>
        <v>strefa świętokrzyska</v>
      </c>
      <c r="H16" s="40">
        <v>122540</v>
      </c>
      <c r="I16" s="40">
        <v>0</v>
      </c>
      <c r="J16" s="40">
        <v>4860</v>
      </c>
      <c r="K16" s="40">
        <v>9100</v>
      </c>
      <c r="L16" s="40">
        <v>10320</v>
      </c>
      <c r="M16" s="40">
        <v>30690</v>
      </c>
      <c r="N16" s="40">
        <v>30690</v>
      </c>
      <c r="O16" s="43">
        <v>36880</v>
      </c>
      <c r="P16" s="43">
        <v>1</v>
      </c>
      <c r="Q16" s="43">
        <v>20</v>
      </c>
      <c r="S16" s="3" t="s">
        <v>82</v>
      </c>
      <c r="T16" s="120">
        <f>SUMIFS(gminy_26[2020],gminy_26[kod powiatu],$S16)</f>
        <v>0</v>
      </c>
      <c r="U16" s="120">
        <f>SUMIFS(gminy_26[2021],gminy_26[kod powiatu],$S16)</f>
        <v>5500</v>
      </c>
      <c r="V16" s="120">
        <f>SUMIFS(gminy_26[2022],gminy_26[kod powiatu],$S16)</f>
        <v>10290</v>
      </c>
      <c r="W16" s="120">
        <f>SUMIFS(gminy_26[2023],gminy_26[kod powiatu],$S16)</f>
        <v>11660</v>
      </c>
      <c r="X16" s="120">
        <f>SUMIFS(gminy_26[2024],gminy_26[kod powiatu],$S16)</f>
        <v>97440</v>
      </c>
      <c r="Y16" s="120">
        <f>SUMIFS(gminy_26[2025],gminy_26[kod powiatu],$S16)</f>
        <v>97440</v>
      </c>
      <c r="Z16" s="120">
        <f>SUMIFS(gminy_26[2026],gminy_26[kod powiatu],$S16)</f>
        <v>125330</v>
      </c>
    </row>
    <row r="17" spans="1:26" hidden="1" x14ac:dyDescent="0.2">
      <c r="A17" s="1" t="s">
        <v>131</v>
      </c>
      <c r="B17" s="1" t="s">
        <v>132</v>
      </c>
      <c r="C17" s="1" t="str">
        <f>gminy_26[[#This Row],[kod gminy]]</f>
        <v>2603022</v>
      </c>
      <c r="D17" s="1" t="s">
        <v>72</v>
      </c>
      <c r="E17" s="1" t="str">
        <f>VLOOKUP(gminy_26[[#This Row],[kod powiatu]],powiaty_26[],katalogi!$B$1,FALSE)</f>
        <v>kazimierski</v>
      </c>
      <c r="F17" s="1" t="s">
        <v>68</v>
      </c>
      <c r="G17" s="1" t="str">
        <f>VLOOKUP(gminy_26[[#This Row],[kod strefy]],strefy_26[],2,FALSE)</f>
        <v>strefa świętokrzyska</v>
      </c>
      <c r="H17" s="40">
        <v>27910</v>
      </c>
      <c r="I17" s="40">
        <v>0</v>
      </c>
      <c r="J17" s="40">
        <v>770</v>
      </c>
      <c r="K17" s="40">
        <v>1430</v>
      </c>
      <c r="L17" s="40">
        <v>1620</v>
      </c>
      <c r="M17" s="40">
        <v>7420</v>
      </c>
      <c r="N17" s="40">
        <v>7420</v>
      </c>
      <c r="O17" s="43">
        <v>9250</v>
      </c>
      <c r="P17" s="43">
        <v>1</v>
      </c>
      <c r="Q17" s="43">
        <v>5</v>
      </c>
      <c r="S17" s="3" t="s">
        <v>83</v>
      </c>
      <c r="T17" s="120">
        <f>SUMIFS(gminy_26[2020],gminy_26[kod powiatu],$S17)</f>
        <v>0</v>
      </c>
      <c r="U17" s="120">
        <f>SUMIFS(gminy_26[2021],gminy_26[kod powiatu],$S17)</f>
        <v>37570</v>
      </c>
      <c r="V17" s="120">
        <f>SUMIFS(gminy_26[2022],gminy_26[kod powiatu],$S17)</f>
        <v>70440</v>
      </c>
      <c r="W17" s="120">
        <f>SUMIFS(gminy_26[2023],gminy_26[kod powiatu],$S17)</f>
        <v>79840</v>
      </c>
      <c r="X17" s="120">
        <f>SUMIFS(gminy_26[2024],gminy_26[kod powiatu],$S17)</f>
        <v>93920</v>
      </c>
      <c r="Y17" s="120">
        <f>SUMIFS(gminy_26[2025],gminy_26[kod powiatu],$S17)</f>
        <v>93920</v>
      </c>
      <c r="Z17" s="120">
        <f>SUMIFS(gminy_26[2026],gminy_26[kod powiatu],$S17)</f>
        <v>93920</v>
      </c>
    </row>
    <row r="18" spans="1:26" hidden="1" x14ac:dyDescent="0.2">
      <c r="A18" s="1" t="s">
        <v>133</v>
      </c>
      <c r="B18" s="1" t="s">
        <v>134</v>
      </c>
      <c r="C18" s="1" t="str">
        <f>gminy_26[[#This Row],[kod gminy]]</f>
        <v>2607043</v>
      </c>
      <c r="D18" s="1" t="s">
        <v>76</v>
      </c>
      <c r="E18" s="1" t="str">
        <f>VLOOKUP(gminy_26[[#This Row],[kod powiatu]],powiaty_26[],katalogi!$B$1,FALSE)</f>
        <v>ostrowiecki</v>
      </c>
      <c r="F18" s="1" t="s">
        <v>68</v>
      </c>
      <c r="G18" s="1" t="str">
        <f>VLOOKUP(gminy_26[[#This Row],[kod strefy]],strefy_26[],2,FALSE)</f>
        <v>strefa świętokrzyska</v>
      </c>
      <c r="H18" s="40">
        <v>69840</v>
      </c>
      <c r="I18" s="40">
        <v>0</v>
      </c>
      <c r="J18" s="40">
        <v>2970</v>
      </c>
      <c r="K18" s="40">
        <v>5570</v>
      </c>
      <c r="L18" s="40">
        <v>6310</v>
      </c>
      <c r="M18" s="40">
        <v>17240</v>
      </c>
      <c r="N18" s="40">
        <v>17240</v>
      </c>
      <c r="O18" s="43">
        <v>20510</v>
      </c>
      <c r="P18" s="43">
        <v>1</v>
      </c>
      <c r="Q18" s="43">
        <v>20</v>
      </c>
    </row>
    <row r="19" spans="1:26" hidden="1" x14ac:dyDescent="0.2">
      <c r="A19" s="1" t="s">
        <v>135</v>
      </c>
      <c r="B19" s="1" t="s">
        <v>136</v>
      </c>
      <c r="C19" s="1" t="str">
        <f>gminy_26[[#This Row],[kod gminy]]</f>
        <v>2604053</v>
      </c>
      <c r="D19" s="1" t="s">
        <v>73</v>
      </c>
      <c r="E19" s="1" t="str">
        <f>VLOOKUP(gminy_26[[#This Row],[kod powiatu]],powiaty_26[],katalogi!$B$1,FALSE)</f>
        <v>kielecki</v>
      </c>
      <c r="F19" s="1" t="s">
        <v>68</v>
      </c>
      <c r="G19" s="1" t="str">
        <f>VLOOKUP(gminy_26[[#This Row],[kod strefy]],strefy_26[],2,FALSE)</f>
        <v>strefa świętokrzyska</v>
      </c>
      <c r="H19" s="40">
        <v>176290</v>
      </c>
      <c r="I19" s="40">
        <v>0</v>
      </c>
      <c r="J19" s="40">
        <v>6880</v>
      </c>
      <c r="K19" s="40">
        <v>12900</v>
      </c>
      <c r="L19" s="40">
        <v>14610</v>
      </c>
      <c r="M19" s="40">
        <v>44290</v>
      </c>
      <c r="N19" s="40">
        <v>44290</v>
      </c>
      <c r="O19" s="43">
        <v>53320</v>
      </c>
      <c r="P19" s="43">
        <v>1</v>
      </c>
      <c r="Q19" s="43">
        <v>20</v>
      </c>
    </row>
    <row r="20" spans="1:26" hidden="1" x14ac:dyDescent="0.2">
      <c r="A20" s="1" t="s">
        <v>137</v>
      </c>
      <c r="B20" s="1" t="s">
        <v>138</v>
      </c>
      <c r="C20" s="1" t="str">
        <f>gminy_26[[#This Row],[kod gminy]]</f>
        <v>2609022</v>
      </c>
      <c r="D20" s="1" t="s">
        <v>78</v>
      </c>
      <c r="E20" s="1" t="str">
        <f>VLOOKUP(gminy_26[[#This Row],[kod powiatu]],powiaty_26[],katalogi!$B$1,FALSE)</f>
        <v>sandomierski</v>
      </c>
      <c r="F20" s="1" t="s">
        <v>68</v>
      </c>
      <c r="G20" s="1" t="str">
        <f>VLOOKUP(gminy_26[[#This Row],[kod strefy]],strefy_26[],2,FALSE)</f>
        <v>strefa świętokrzyska</v>
      </c>
      <c r="H20" s="40">
        <v>46680</v>
      </c>
      <c r="I20" s="40">
        <v>0</v>
      </c>
      <c r="J20" s="40">
        <v>1590</v>
      </c>
      <c r="K20" s="40">
        <v>2970</v>
      </c>
      <c r="L20" s="40">
        <v>3370</v>
      </c>
      <c r="M20" s="40">
        <v>12020</v>
      </c>
      <c r="N20" s="40">
        <v>12020</v>
      </c>
      <c r="O20" s="43">
        <v>14710</v>
      </c>
      <c r="P20" s="43">
        <v>1</v>
      </c>
      <c r="Q20" s="43">
        <v>5</v>
      </c>
    </row>
    <row r="21" spans="1:26" hidden="1" x14ac:dyDescent="0.2">
      <c r="A21" s="1" t="s">
        <v>139</v>
      </c>
      <c r="B21" s="1" t="s">
        <v>140</v>
      </c>
      <c r="C21" s="1" t="str">
        <f>gminy_26[[#This Row],[kod gminy]]</f>
        <v>2608013</v>
      </c>
      <c r="D21" s="1" t="s">
        <v>77</v>
      </c>
      <c r="E21" s="1" t="str">
        <f>VLOOKUP(gminy_26[[#This Row],[kod powiatu]],powiaty_26[],katalogi!$B$1,FALSE)</f>
        <v>pińczowski</v>
      </c>
      <c r="F21" s="1" t="s">
        <v>68</v>
      </c>
      <c r="G21" s="1" t="str">
        <f>VLOOKUP(gminy_26[[#This Row],[kod strefy]],strefy_26[],2,FALSE)</f>
        <v>strefa świętokrzyska</v>
      </c>
      <c r="H21" s="40">
        <v>50980</v>
      </c>
      <c r="I21" s="40">
        <v>0</v>
      </c>
      <c r="J21" s="40">
        <v>550</v>
      </c>
      <c r="K21" s="40">
        <v>1020</v>
      </c>
      <c r="L21" s="40">
        <v>1160</v>
      </c>
      <c r="M21" s="40">
        <v>14610</v>
      </c>
      <c r="N21" s="40">
        <v>14610</v>
      </c>
      <c r="O21" s="43">
        <v>19030</v>
      </c>
      <c r="P21" s="43">
        <v>1</v>
      </c>
      <c r="Q21" s="43">
        <v>20</v>
      </c>
    </row>
    <row r="22" spans="1:26" hidden="1" x14ac:dyDescent="0.2">
      <c r="A22" s="1" t="s">
        <v>141</v>
      </c>
      <c r="B22" s="1" t="s">
        <v>142</v>
      </c>
      <c r="C22" s="1" t="str">
        <f>gminy_26[[#This Row],[kod gminy]]</f>
        <v>2605012</v>
      </c>
      <c r="D22" s="1" t="s">
        <v>74</v>
      </c>
      <c r="E22" s="1" t="str">
        <f>VLOOKUP(gminy_26[[#This Row],[kod powiatu]],powiaty_26[],katalogi!$B$1,FALSE)</f>
        <v>konecki</v>
      </c>
      <c r="F22" s="1" t="s">
        <v>68</v>
      </c>
      <c r="G22" s="1" t="str">
        <f>VLOOKUP(gminy_26[[#This Row],[kod strefy]],strefy_26[],2,FALSE)</f>
        <v>strefa świętokrzyska</v>
      </c>
      <c r="H22" s="40">
        <v>44320</v>
      </c>
      <c r="I22" s="40">
        <v>0</v>
      </c>
      <c r="J22" s="40">
        <v>1310</v>
      </c>
      <c r="K22" s="40">
        <v>2450</v>
      </c>
      <c r="L22" s="40">
        <v>2780</v>
      </c>
      <c r="M22" s="40">
        <v>11660</v>
      </c>
      <c r="N22" s="40">
        <v>11660</v>
      </c>
      <c r="O22" s="43">
        <v>14460</v>
      </c>
      <c r="P22" s="43">
        <v>1</v>
      </c>
      <c r="Q22" s="43">
        <v>5</v>
      </c>
    </row>
    <row r="23" spans="1:26" hidden="1" x14ac:dyDescent="0.2">
      <c r="A23" s="1" t="s">
        <v>143</v>
      </c>
      <c r="B23" s="1" t="s">
        <v>144</v>
      </c>
      <c r="C23" s="1" t="str">
        <f>gminy_26[[#This Row],[kod gminy]]</f>
        <v>2601022</v>
      </c>
      <c r="D23" s="1" t="s">
        <v>70</v>
      </c>
      <c r="E23" s="1" t="str">
        <f>VLOOKUP(gminy_26[[#This Row],[kod powiatu]],powiaty_26[],katalogi!$B$1,FALSE)</f>
        <v>buski</v>
      </c>
      <c r="F23" s="1" t="s">
        <v>68</v>
      </c>
      <c r="G23" s="1" t="str">
        <f>VLOOKUP(gminy_26[[#This Row],[kod strefy]],strefy_26[],2,FALSE)</f>
        <v>strefa świętokrzyska</v>
      </c>
      <c r="H23" s="40">
        <v>47190</v>
      </c>
      <c r="I23" s="40">
        <v>0</v>
      </c>
      <c r="J23" s="40">
        <v>1980</v>
      </c>
      <c r="K23" s="40">
        <v>3710</v>
      </c>
      <c r="L23" s="40">
        <v>4210</v>
      </c>
      <c r="M23" s="40">
        <v>11680</v>
      </c>
      <c r="N23" s="40">
        <v>11680</v>
      </c>
      <c r="O23" s="43">
        <v>13930</v>
      </c>
      <c r="P23" s="43">
        <v>1</v>
      </c>
      <c r="Q23" s="43">
        <v>5</v>
      </c>
    </row>
    <row r="24" spans="1:26" hidden="1" x14ac:dyDescent="0.2">
      <c r="A24" s="1" t="s">
        <v>145</v>
      </c>
      <c r="B24" s="1" t="s">
        <v>146</v>
      </c>
      <c r="C24" s="1" t="str">
        <f>gminy_26[[#This Row],[kod gminy]]</f>
        <v>2605022</v>
      </c>
      <c r="D24" s="1" t="s">
        <v>74</v>
      </c>
      <c r="E24" s="1" t="str">
        <f>VLOOKUP(gminy_26[[#This Row],[kod powiatu]],powiaty_26[],katalogi!$B$1,FALSE)</f>
        <v>konecki</v>
      </c>
      <c r="F24" s="1" t="s">
        <v>68</v>
      </c>
      <c r="G24" s="1" t="str">
        <f>VLOOKUP(gminy_26[[#This Row],[kod strefy]],strefy_26[],2,FALSE)</f>
        <v>strefa świętokrzyska</v>
      </c>
      <c r="H24" s="40">
        <v>43750</v>
      </c>
      <c r="I24" s="40">
        <v>0</v>
      </c>
      <c r="J24" s="40">
        <v>1310</v>
      </c>
      <c r="K24" s="40">
        <v>2450</v>
      </c>
      <c r="L24" s="40">
        <v>2780</v>
      </c>
      <c r="M24" s="40">
        <v>11490</v>
      </c>
      <c r="N24" s="40">
        <v>11490</v>
      </c>
      <c r="O24" s="43">
        <v>14230</v>
      </c>
      <c r="P24" s="43">
        <v>1</v>
      </c>
      <c r="Q24" s="43">
        <v>5</v>
      </c>
    </row>
    <row r="25" spans="1:26" hidden="1" x14ac:dyDescent="0.2">
      <c r="A25" s="1" t="s">
        <v>147</v>
      </c>
      <c r="B25" s="1" t="s">
        <v>148</v>
      </c>
      <c r="C25" s="1" t="str">
        <f>gminy_26[[#This Row],[kod gminy]]</f>
        <v>2604062</v>
      </c>
      <c r="D25" s="1" t="s">
        <v>73</v>
      </c>
      <c r="E25" s="1" t="str">
        <f>VLOOKUP(gminy_26[[#This Row],[kod powiatu]],powiaty_26[],katalogi!$B$1,FALSE)</f>
        <v>kielecki</v>
      </c>
      <c r="F25" s="1" t="s">
        <v>68</v>
      </c>
      <c r="G25" s="1" t="str">
        <f>VLOOKUP(gminy_26[[#This Row],[kod strefy]],strefy_26[],2,FALSE)</f>
        <v>strefa świętokrzyska</v>
      </c>
      <c r="H25" s="40">
        <v>169880</v>
      </c>
      <c r="I25" s="40">
        <v>0</v>
      </c>
      <c r="J25" s="40">
        <v>6720</v>
      </c>
      <c r="K25" s="40">
        <v>12590</v>
      </c>
      <c r="L25" s="40">
        <v>14260</v>
      </c>
      <c r="M25" s="40">
        <v>42570</v>
      </c>
      <c r="N25" s="40">
        <v>42570</v>
      </c>
      <c r="O25" s="43">
        <v>51170</v>
      </c>
      <c r="P25" s="43">
        <v>1</v>
      </c>
      <c r="Q25" s="43">
        <v>5</v>
      </c>
    </row>
    <row r="26" spans="1:26" hidden="1" x14ac:dyDescent="0.2">
      <c r="A26" s="1" t="s">
        <v>149</v>
      </c>
      <c r="B26" s="1" t="s">
        <v>150</v>
      </c>
      <c r="C26" s="1" t="str">
        <f>gminy_26[[#This Row],[kod gminy]]</f>
        <v>2602012</v>
      </c>
      <c r="D26" s="1" t="s">
        <v>71</v>
      </c>
      <c r="E26" s="1" t="str">
        <f>VLOOKUP(gminy_26[[#This Row],[kod powiatu]],powiaty_26[],katalogi!$B$1,FALSE)</f>
        <v>jędrzejowski</v>
      </c>
      <c r="F26" s="1" t="s">
        <v>68</v>
      </c>
      <c r="G26" s="1" t="str">
        <f>VLOOKUP(gminy_26[[#This Row],[kod strefy]],strefy_26[],2,FALSE)</f>
        <v>strefa świętokrzyska</v>
      </c>
      <c r="H26" s="40">
        <v>47020</v>
      </c>
      <c r="I26" s="40">
        <v>0</v>
      </c>
      <c r="J26" s="40">
        <v>1960</v>
      </c>
      <c r="K26" s="40">
        <v>3670</v>
      </c>
      <c r="L26" s="40">
        <v>4160</v>
      </c>
      <c r="M26" s="40">
        <v>11660</v>
      </c>
      <c r="N26" s="40">
        <v>11660</v>
      </c>
      <c r="O26" s="43">
        <v>13910</v>
      </c>
      <c r="P26" s="43">
        <v>1</v>
      </c>
      <c r="Q26" s="43">
        <v>5</v>
      </c>
    </row>
    <row r="27" spans="1:26" hidden="1" x14ac:dyDescent="0.2">
      <c r="A27" s="1" t="s">
        <v>151</v>
      </c>
      <c r="B27" s="1" t="s">
        <v>152</v>
      </c>
      <c r="C27" s="1" t="str">
        <f>gminy_26[[#This Row],[kod gminy]]</f>
        <v>2606022</v>
      </c>
      <c r="D27" s="1" t="s">
        <v>75</v>
      </c>
      <c r="E27" s="1" t="str">
        <f>VLOOKUP(gminy_26[[#This Row],[kod powiatu]],powiaty_26[],katalogi!$B$1,FALSE)</f>
        <v>opatowski</v>
      </c>
      <c r="F27" s="1" t="s">
        <v>68</v>
      </c>
      <c r="G27" s="1" t="str">
        <f>VLOOKUP(gminy_26[[#This Row],[kod strefy]],strefy_26[],2,FALSE)</f>
        <v>strefa świętokrzyska</v>
      </c>
      <c r="H27" s="40">
        <v>46870</v>
      </c>
      <c r="I27" s="40">
        <v>0</v>
      </c>
      <c r="J27" s="40">
        <v>410</v>
      </c>
      <c r="K27" s="40">
        <v>760</v>
      </c>
      <c r="L27" s="40">
        <v>870</v>
      </c>
      <c r="M27" s="40">
        <v>13550</v>
      </c>
      <c r="N27" s="40">
        <v>13550</v>
      </c>
      <c r="O27" s="43">
        <v>17730</v>
      </c>
      <c r="P27" s="43">
        <v>1</v>
      </c>
      <c r="Q27" s="43">
        <v>5</v>
      </c>
    </row>
    <row r="28" spans="1:26" hidden="1" x14ac:dyDescent="0.2">
      <c r="A28" s="1" t="s">
        <v>153</v>
      </c>
      <c r="B28" s="1" t="s">
        <v>154</v>
      </c>
      <c r="C28" s="1" t="str">
        <f>gminy_26[[#This Row],[kod gminy]]</f>
        <v>2602023</v>
      </c>
      <c r="D28" s="1" t="s">
        <v>71</v>
      </c>
      <c r="E28" s="1" t="str">
        <f>VLOOKUP(gminy_26[[#This Row],[kod powiatu]],powiaty_26[],katalogi!$B$1,FALSE)</f>
        <v>jędrzejowski</v>
      </c>
      <c r="F28" s="1" t="s">
        <v>68</v>
      </c>
      <c r="G28" s="1" t="str">
        <f>VLOOKUP(gminy_26[[#This Row],[kod strefy]],strefy_26[],2,FALSE)</f>
        <v>strefa świętokrzyska</v>
      </c>
      <c r="H28" s="40">
        <v>234240</v>
      </c>
      <c r="I28" s="40">
        <v>0</v>
      </c>
      <c r="J28" s="40">
        <v>9980</v>
      </c>
      <c r="K28" s="40">
        <v>18700</v>
      </c>
      <c r="L28" s="40">
        <v>21200</v>
      </c>
      <c r="M28" s="40">
        <v>57800</v>
      </c>
      <c r="N28" s="40">
        <v>57800</v>
      </c>
      <c r="O28" s="43">
        <v>68760</v>
      </c>
      <c r="P28" s="43">
        <v>1</v>
      </c>
      <c r="Q28" s="43">
        <v>20</v>
      </c>
    </row>
    <row r="29" spans="1:26" hidden="1" x14ac:dyDescent="0.2">
      <c r="A29" s="1" t="s">
        <v>155</v>
      </c>
      <c r="B29" s="1" t="s">
        <v>156</v>
      </c>
      <c r="C29" s="1" t="str">
        <f>gminy_26[[#This Row],[kod gminy]]</f>
        <v>2603033</v>
      </c>
      <c r="D29" s="1" t="s">
        <v>72</v>
      </c>
      <c r="E29" s="1" t="str">
        <f>VLOOKUP(gminy_26[[#This Row],[kod powiatu]],powiaty_26[],katalogi!$B$1,FALSE)</f>
        <v>kazimierski</v>
      </c>
      <c r="F29" s="1" t="s">
        <v>68</v>
      </c>
      <c r="G29" s="1" t="str">
        <f>VLOOKUP(gminy_26[[#This Row],[kod strefy]],strefy_26[],2,FALSE)</f>
        <v>strefa świętokrzyska</v>
      </c>
      <c r="H29" s="40">
        <v>114160</v>
      </c>
      <c r="I29" s="40">
        <v>0</v>
      </c>
      <c r="J29" s="40">
        <v>3240</v>
      </c>
      <c r="K29" s="40">
        <v>6070</v>
      </c>
      <c r="L29" s="40">
        <v>6880</v>
      </c>
      <c r="M29" s="40">
        <v>30200</v>
      </c>
      <c r="N29" s="40">
        <v>30200</v>
      </c>
      <c r="O29" s="43">
        <v>37570</v>
      </c>
      <c r="P29" s="43">
        <v>1</v>
      </c>
      <c r="Q29" s="43">
        <v>20</v>
      </c>
    </row>
    <row r="30" spans="1:26" hidden="1" x14ac:dyDescent="0.2">
      <c r="A30" s="1" t="s">
        <v>157</v>
      </c>
      <c r="B30" s="1" t="s">
        <v>158</v>
      </c>
      <c r="C30" s="1" t="str">
        <f>gminy_26[[#This Row],[kod gminy]]</f>
        <v>2608022</v>
      </c>
      <c r="D30" s="1" t="s">
        <v>77</v>
      </c>
      <c r="E30" s="1" t="str">
        <f>VLOOKUP(gminy_26[[#This Row],[kod powiatu]],powiaty_26[],katalogi!$B$1,FALSE)</f>
        <v>pińczowski</v>
      </c>
      <c r="F30" s="1" t="s">
        <v>68</v>
      </c>
      <c r="G30" s="1" t="str">
        <f>VLOOKUP(gminy_26[[#This Row],[kod strefy]],strefy_26[],2,FALSE)</f>
        <v>strefa świętokrzyska</v>
      </c>
      <c r="H30" s="40">
        <v>46660</v>
      </c>
      <c r="I30" s="40">
        <v>0</v>
      </c>
      <c r="J30" s="40">
        <v>540</v>
      </c>
      <c r="K30" s="40">
        <v>1000</v>
      </c>
      <c r="L30" s="40">
        <v>1130</v>
      </c>
      <c r="M30" s="40">
        <v>13330</v>
      </c>
      <c r="N30" s="40">
        <v>13330</v>
      </c>
      <c r="O30" s="43">
        <v>17330</v>
      </c>
      <c r="P30" s="43">
        <v>1</v>
      </c>
      <c r="Q30" s="43">
        <v>5</v>
      </c>
    </row>
    <row r="31" spans="1:26" hidden="1" x14ac:dyDescent="0.2">
      <c r="A31" s="1" t="s">
        <v>159</v>
      </c>
      <c r="B31" s="1" t="s">
        <v>160</v>
      </c>
      <c r="C31" s="1" t="str">
        <f>gminy_26[[#This Row],[kod gminy]]</f>
        <v>2609032</v>
      </c>
      <c r="D31" s="1" t="s">
        <v>78</v>
      </c>
      <c r="E31" s="1" t="str">
        <f>VLOOKUP(gminy_26[[#This Row],[kod powiatu]],powiaty_26[],katalogi!$B$1,FALSE)</f>
        <v>sandomierski</v>
      </c>
      <c r="F31" s="1" t="s">
        <v>68</v>
      </c>
      <c r="G31" s="1" t="str">
        <f>VLOOKUP(gminy_26[[#This Row],[kod strefy]],strefy_26[],2,FALSE)</f>
        <v>strefa świętokrzyska</v>
      </c>
      <c r="H31" s="40">
        <v>49370</v>
      </c>
      <c r="I31" s="40">
        <v>0</v>
      </c>
      <c r="J31" s="40">
        <v>1660</v>
      </c>
      <c r="K31" s="40">
        <v>3100</v>
      </c>
      <c r="L31" s="40">
        <v>3520</v>
      </c>
      <c r="M31" s="40">
        <v>12740</v>
      </c>
      <c r="N31" s="40">
        <v>12740</v>
      </c>
      <c r="O31" s="43">
        <v>15610</v>
      </c>
      <c r="P31" s="43">
        <v>1</v>
      </c>
      <c r="Q31" s="43">
        <v>5</v>
      </c>
    </row>
    <row r="32" spans="1:26" x14ac:dyDescent="0.2">
      <c r="A32" s="1" t="s">
        <v>161</v>
      </c>
      <c r="B32" s="1" t="s">
        <v>162</v>
      </c>
      <c r="C32" s="1" t="str">
        <f>gminy_26[[#This Row],[kod gminy]]</f>
        <v>2613012</v>
      </c>
      <c r="D32" s="1" t="s">
        <v>82</v>
      </c>
      <c r="E32" s="1" t="str">
        <f>VLOOKUP(gminy_26[[#This Row],[kod powiatu]],powiaty_26[],katalogi!$B$1,FALSE)</f>
        <v>włoszczowski</v>
      </c>
      <c r="F32" s="1" t="s">
        <v>68</v>
      </c>
      <c r="G32" s="1" t="str">
        <f>VLOOKUP(gminy_26[[#This Row],[kod strefy]],strefy_26[],2,FALSE)</f>
        <v>strefa świętokrzyska</v>
      </c>
      <c r="H32" s="40">
        <v>42330</v>
      </c>
      <c r="I32" s="40">
        <v>0</v>
      </c>
      <c r="J32" s="40">
        <v>690</v>
      </c>
      <c r="K32" s="40">
        <v>1290</v>
      </c>
      <c r="L32" s="40">
        <v>1460</v>
      </c>
      <c r="M32" s="40">
        <v>11840</v>
      </c>
      <c r="N32" s="40">
        <v>11840</v>
      </c>
      <c r="O32" s="43">
        <v>15210</v>
      </c>
      <c r="P32" s="43">
        <v>1</v>
      </c>
      <c r="Q32" s="43">
        <v>5</v>
      </c>
    </row>
    <row r="33" spans="1:17" hidden="1" x14ac:dyDescent="0.2">
      <c r="A33" s="1" t="s">
        <v>163</v>
      </c>
      <c r="B33" s="1" t="s">
        <v>164</v>
      </c>
      <c r="C33" s="1" t="str">
        <f>gminy_26[[#This Row],[kod gminy]]</f>
        <v>2605033</v>
      </c>
      <c r="D33" s="1" t="s">
        <v>74</v>
      </c>
      <c r="E33" s="1" t="str">
        <f>VLOOKUP(gminy_26[[#This Row],[kod powiatu]],powiaty_26[],katalogi!$B$1,FALSE)</f>
        <v>konecki</v>
      </c>
      <c r="F33" s="1" t="s">
        <v>68</v>
      </c>
      <c r="G33" s="1" t="str">
        <f>VLOOKUP(gminy_26[[#This Row],[kod strefy]],strefy_26[],2,FALSE)</f>
        <v>strefa świętokrzyska</v>
      </c>
      <c r="H33" s="40">
        <v>265920</v>
      </c>
      <c r="I33" s="40">
        <v>0</v>
      </c>
      <c r="J33" s="40">
        <v>8060</v>
      </c>
      <c r="K33" s="40">
        <v>15100</v>
      </c>
      <c r="L33" s="40">
        <v>17110</v>
      </c>
      <c r="M33" s="40">
        <v>69710</v>
      </c>
      <c r="N33" s="40">
        <v>69710</v>
      </c>
      <c r="O33" s="43">
        <v>86230</v>
      </c>
      <c r="P33" s="43">
        <v>1</v>
      </c>
      <c r="Q33" s="43">
        <v>20</v>
      </c>
    </row>
    <row r="34" spans="1:17" hidden="1" x14ac:dyDescent="0.2">
      <c r="A34" s="1" t="s">
        <v>165</v>
      </c>
      <c r="B34" s="1" t="s">
        <v>166</v>
      </c>
      <c r="C34" s="1" t="str">
        <f>gminy_26[[#This Row],[kod gminy]]</f>
        <v>2609043</v>
      </c>
      <c r="D34" s="1" t="s">
        <v>78</v>
      </c>
      <c r="E34" s="1" t="str">
        <f>VLOOKUP(gminy_26[[#This Row],[kod powiatu]],powiaty_26[],katalogi!$B$1,FALSE)</f>
        <v>sandomierski</v>
      </c>
      <c r="F34" s="1" t="s">
        <v>68</v>
      </c>
      <c r="G34" s="1" t="str">
        <f>VLOOKUP(gminy_26[[#This Row],[kod strefy]],strefy_26[],2,FALSE)</f>
        <v>strefa świętokrzyska</v>
      </c>
      <c r="H34" s="40">
        <v>35130</v>
      </c>
      <c r="I34" s="40">
        <v>0</v>
      </c>
      <c r="J34" s="40">
        <v>1170</v>
      </c>
      <c r="K34" s="40">
        <v>2190</v>
      </c>
      <c r="L34" s="40">
        <v>2480</v>
      </c>
      <c r="M34" s="40">
        <v>9080</v>
      </c>
      <c r="N34" s="40">
        <v>9080</v>
      </c>
      <c r="O34" s="43">
        <v>11130</v>
      </c>
      <c r="P34" s="43">
        <v>1</v>
      </c>
      <c r="Q34" s="43">
        <v>20</v>
      </c>
    </row>
    <row r="35" spans="1:17" x14ac:dyDescent="0.2">
      <c r="A35" s="1" t="s">
        <v>167</v>
      </c>
      <c r="B35" s="1" t="s">
        <v>168</v>
      </c>
      <c r="C35" s="1" t="str">
        <f>gminy_26[[#This Row],[kod gminy]]</f>
        <v>2613022</v>
      </c>
      <c r="D35" s="1" t="s">
        <v>82</v>
      </c>
      <c r="E35" s="1" t="str">
        <f>VLOOKUP(gminy_26[[#This Row],[kod powiatu]],powiaty_26[],katalogi!$B$1,FALSE)</f>
        <v>włoszczowski</v>
      </c>
      <c r="F35" s="1" t="s">
        <v>68</v>
      </c>
      <c r="G35" s="1" t="str">
        <f>VLOOKUP(gminy_26[[#This Row],[kod strefy]],strefy_26[],2,FALSE)</f>
        <v>strefa świętokrzyska</v>
      </c>
      <c r="H35" s="40">
        <v>87860</v>
      </c>
      <c r="I35" s="40">
        <v>0</v>
      </c>
      <c r="J35" s="40">
        <v>1480</v>
      </c>
      <c r="K35" s="40">
        <v>2770</v>
      </c>
      <c r="L35" s="40">
        <v>3140</v>
      </c>
      <c r="M35" s="40">
        <v>24510</v>
      </c>
      <c r="N35" s="40">
        <v>24510</v>
      </c>
      <c r="O35" s="43">
        <v>31450</v>
      </c>
      <c r="P35" s="43">
        <v>1</v>
      </c>
      <c r="Q35" s="43">
        <v>5</v>
      </c>
    </row>
    <row r="36" spans="1:17" hidden="1" x14ac:dyDescent="0.2">
      <c r="A36" s="1" t="s">
        <v>169</v>
      </c>
      <c r="B36" s="1" t="s">
        <v>170</v>
      </c>
      <c r="C36" s="1" t="str">
        <f>gminy_26[[#This Row],[kod gminy]]</f>
        <v>2607053</v>
      </c>
      <c r="D36" s="1" t="s">
        <v>76</v>
      </c>
      <c r="E36" s="1" t="str">
        <f>VLOOKUP(gminy_26[[#This Row],[kod powiatu]],powiaty_26[],katalogi!$B$1,FALSE)</f>
        <v>ostrowiecki</v>
      </c>
      <c r="F36" s="1" t="s">
        <v>68</v>
      </c>
      <c r="G36" s="1" t="str">
        <f>VLOOKUP(gminy_26[[#This Row],[kod strefy]],strefy_26[],2,FALSE)</f>
        <v>strefa świętokrzyska</v>
      </c>
      <c r="H36" s="40">
        <v>95090</v>
      </c>
      <c r="I36" s="40">
        <v>0</v>
      </c>
      <c r="J36" s="40">
        <v>4080</v>
      </c>
      <c r="K36" s="40">
        <v>7650</v>
      </c>
      <c r="L36" s="40">
        <v>8670</v>
      </c>
      <c r="M36" s="40">
        <v>23430</v>
      </c>
      <c r="N36" s="40">
        <v>23430</v>
      </c>
      <c r="O36" s="43">
        <v>27830</v>
      </c>
      <c r="P36" s="43">
        <v>1</v>
      </c>
      <c r="Q36" s="43">
        <v>20</v>
      </c>
    </row>
    <row r="37" spans="1:17" hidden="1" x14ac:dyDescent="0.2">
      <c r="A37" s="1" t="s">
        <v>171</v>
      </c>
      <c r="B37" s="1" t="s">
        <v>172</v>
      </c>
      <c r="C37" s="1" t="str">
        <f>gminy_26[[#This Row],[kod gminy]]</f>
        <v>2606032</v>
      </c>
      <c r="D37" s="1" t="s">
        <v>75</v>
      </c>
      <c r="E37" s="1" t="str">
        <f>VLOOKUP(gminy_26[[#This Row],[kod powiatu]],powiaty_26[],katalogi!$B$1,FALSE)</f>
        <v>opatowski</v>
      </c>
      <c r="F37" s="1" t="s">
        <v>68</v>
      </c>
      <c r="G37" s="1" t="str">
        <f>VLOOKUP(gminy_26[[#This Row],[kod strefy]],strefy_26[],2,FALSE)</f>
        <v>strefa świętokrzyska</v>
      </c>
      <c r="H37" s="40">
        <v>31150</v>
      </c>
      <c r="I37" s="40">
        <v>0</v>
      </c>
      <c r="J37" s="40">
        <v>270</v>
      </c>
      <c r="K37" s="40">
        <v>500</v>
      </c>
      <c r="L37" s="40">
        <v>570</v>
      </c>
      <c r="M37" s="40">
        <v>9010</v>
      </c>
      <c r="N37" s="40">
        <v>9010</v>
      </c>
      <c r="O37" s="43">
        <v>11790</v>
      </c>
      <c r="P37" s="43">
        <v>1</v>
      </c>
      <c r="Q37" s="43">
        <v>5</v>
      </c>
    </row>
    <row r="38" spans="1:17" hidden="1" x14ac:dyDescent="0.2">
      <c r="A38" s="1" t="s">
        <v>173</v>
      </c>
      <c r="B38" s="1" t="s">
        <v>174</v>
      </c>
      <c r="C38" s="1" t="str">
        <f>gminy_26[[#This Row],[kod gminy]]</f>
        <v>2604073</v>
      </c>
      <c r="D38" s="1" t="s">
        <v>73</v>
      </c>
      <c r="E38" s="1" t="str">
        <f>VLOOKUP(gminy_26[[#This Row],[kod powiatu]],powiaty_26[],katalogi!$B$1,FALSE)</f>
        <v>kielecki</v>
      </c>
      <c r="F38" s="1" t="s">
        <v>68</v>
      </c>
      <c r="G38" s="1" t="str">
        <f>VLOOKUP(gminy_26[[#This Row],[kod strefy]],strefy_26[],2,FALSE)</f>
        <v>strefa świętokrzyska</v>
      </c>
      <c r="H38" s="40">
        <v>82040</v>
      </c>
      <c r="I38" s="40">
        <v>0</v>
      </c>
      <c r="J38" s="40">
        <v>3270</v>
      </c>
      <c r="K38" s="40">
        <v>6120</v>
      </c>
      <c r="L38" s="40">
        <v>6940</v>
      </c>
      <c r="M38" s="40">
        <v>20530</v>
      </c>
      <c r="N38" s="40">
        <v>20530</v>
      </c>
      <c r="O38" s="43">
        <v>24650</v>
      </c>
      <c r="P38" s="43">
        <v>1</v>
      </c>
      <c r="Q38" s="43">
        <v>20</v>
      </c>
    </row>
    <row r="39" spans="1:17" hidden="1" x14ac:dyDescent="0.2">
      <c r="A39" s="1" t="s">
        <v>175</v>
      </c>
      <c r="B39" s="1" t="s">
        <v>176</v>
      </c>
      <c r="C39" s="1" t="str">
        <f>gminy_26[[#This Row],[kod gminy]]</f>
        <v>2610032</v>
      </c>
      <c r="D39" s="1" t="s">
        <v>79</v>
      </c>
      <c r="E39" s="1" t="str">
        <f>VLOOKUP(gminy_26[[#This Row],[kod powiatu]],powiaty_26[],katalogi!$B$1,FALSE)</f>
        <v>skarżyski</v>
      </c>
      <c r="F39" s="1" t="s">
        <v>68</v>
      </c>
      <c r="G39" s="1" t="str">
        <f>VLOOKUP(gminy_26[[#This Row],[kod strefy]],strefy_26[],2,FALSE)</f>
        <v>strefa świętokrzyska</v>
      </c>
      <c r="H39" s="40">
        <v>57850</v>
      </c>
      <c r="I39" s="40">
        <v>0</v>
      </c>
      <c r="J39" s="40">
        <v>1520</v>
      </c>
      <c r="K39" s="40">
        <v>2840</v>
      </c>
      <c r="L39" s="40">
        <v>3220</v>
      </c>
      <c r="M39" s="40">
        <v>15460</v>
      </c>
      <c r="N39" s="40">
        <v>15460</v>
      </c>
      <c r="O39" s="43">
        <v>19350</v>
      </c>
      <c r="P39" s="43">
        <v>1</v>
      </c>
      <c r="Q39" s="43">
        <v>5</v>
      </c>
    </row>
    <row r="40" spans="1:17" hidden="1" x14ac:dyDescent="0.2">
      <c r="A40" s="1" t="s">
        <v>177</v>
      </c>
      <c r="B40" s="1" t="s">
        <v>178</v>
      </c>
      <c r="C40" s="1" t="str">
        <f>gminy_26[[#This Row],[kod gminy]]</f>
        <v>2609052</v>
      </c>
      <c r="D40" s="1" t="s">
        <v>78</v>
      </c>
      <c r="E40" s="1" t="str">
        <f>VLOOKUP(gminy_26[[#This Row],[kod powiatu]],powiaty_26[],katalogi!$B$1,FALSE)</f>
        <v>sandomierski</v>
      </c>
      <c r="F40" s="1" t="s">
        <v>68</v>
      </c>
      <c r="G40" s="1" t="str">
        <f>VLOOKUP(gminy_26[[#This Row],[kod strefy]],strefy_26[],2,FALSE)</f>
        <v>strefa świętokrzyska</v>
      </c>
      <c r="H40" s="40">
        <v>43970</v>
      </c>
      <c r="I40" s="40">
        <v>0</v>
      </c>
      <c r="J40" s="40">
        <v>1480</v>
      </c>
      <c r="K40" s="40">
        <v>2760</v>
      </c>
      <c r="L40" s="40">
        <v>3130</v>
      </c>
      <c r="M40" s="40">
        <v>11350</v>
      </c>
      <c r="N40" s="40">
        <v>11350</v>
      </c>
      <c r="O40" s="43">
        <v>13900</v>
      </c>
      <c r="P40" s="43">
        <v>1</v>
      </c>
      <c r="Q40" s="43">
        <v>5</v>
      </c>
    </row>
    <row r="41" spans="1:17" hidden="1" x14ac:dyDescent="0.2">
      <c r="A41" s="1" t="s">
        <v>179</v>
      </c>
      <c r="B41" s="1" t="s">
        <v>180</v>
      </c>
      <c r="C41" s="1" t="str">
        <f>gminy_26[[#This Row],[kod gminy]]</f>
        <v>2604082</v>
      </c>
      <c r="D41" s="1" t="s">
        <v>73</v>
      </c>
      <c r="E41" s="1" t="str">
        <f>VLOOKUP(gminy_26[[#This Row],[kod powiatu]],powiaty_26[],katalogi!$B$1,FALSE)</f>
        <v>kielecki</v>
      </c>
      <c r="F41" s="1" t="s">
        <v>68</v>
      </c>
      <c r="G41" s="1" t="str">
        <f>VLOOKUP(gminy_26[[#This Row],[kod strefy]],strefy_26[],2,FALSE)</f>
        <v>strefa świętokrzyska</v>
      </c>
      <c r="H41" s="40">
        <v>107740</v>
      </c>
      <c r="I41" s="40">
        <v>0</v>
      </c>
      <c r="J41" s="40">
        <v>4300</v>
      </c>
      <c r="K41" s="40">
        <v>8060</v>
      </c>
      <c r="L41" s="40">
        <v>9130</v>
      </c>
      <c r="M41" s="40">
        <v>26950</v>
      </c>
      <c r="N41" s="40">
        <v>26950</v>
      </c>
      <c r="O41" s="43">
        <v>32350</v>
      </c>
      <c r="P41" s="43">
        <v>1</v>
      </c>
      <c r="Q41" s="43">
        <v>5</v>
      </c>
    </row>
    <row r="42" spans="1:17" hidden="1" x14ac:dyDescent="0.2">
      <c r="A42" s="1" t="s">
        <v>181</v>
      </c>
      <c r="B42" s="1" t="s">
        <v>182</v>
      </c>
      <c r="C42" s="1" t="str">
        <f>gminy_26[[#This Row],[kod gminy]]</f>
        <v>2612022</v>
      </c>
      <c r="D42" s="1" t="s">
        <v>81</v>
      </c>
      <c r="E42" s="1" t="str">
        <f>VLOOKUP(gminy_26[[#This Row],[kod powiatu]],powiaty_26[],katalogi!$B$1,FALSE)</f>
        <v>staszowski</v>
      </c>
      <c r="F42" s="1" t="s">
        <v>68</v>
      </c>
      <c r="G42" s="1" t="str">
        <f>VLOOKUP(gminy_26[[#This Row],[kod strefy]],strefy_26[],2,FALSE)</f>
        <v>strefa świętokrzyska</v>
      </c>
      <c r="H42" s="40">
        <v>41970</v>
      </c>
      <c r="I42" s="40">
        <v>0</v>
      </c>
      <c r="J42" s="40">
        <v>2440</v>
      </c>
      <c r="K42" s="40">
        <v>4580</v>
      </c>
      <c r="L42" s="40">
        <v>5180</v>
      </c>
      <c r="M42" s="40">
        <v>9540</v>
      </c>
      <c r="N42" s="40">
        <v>9540</v>
      </c>
      <c r="O42" s="43">
        <v>10690</v>
      </c>
      <c r="P42" s="43">
        <v>1</v>
      </c>
      <c r="Q42" s="43">
        <v>5</v>
      </c>
    </row>
    <row r="43" spans="1:17" hidden="1" x14ac:dyDescent="0.2">
      <c r="A43" s="1" t="s">
        <v>183</v>
      </c>
      <c r="B43" s="1" t="s">
        <v>184</v>
      </c>
      <c r="C43" s="1" t="str">
        <f>gminy_26[[#This Row],[kod gminy]]</f>
        <v>2602033</v>
      </c>
      <c r="D43" s="1" t="s">
        <v>71</v>
      </c>
      <c r="E43" s="1" t="str">
        <f>VLOOKUP(gminy_26[[#This Row],[kod powiatu]],powiaty_26[],katalogi!$B$1,FALSE)</f>
        <v>jędrzejowski</v>
      </c>
      <c r="F43" s="1" t="s">
        <v>68</v>
      </c>
      <c r="G43" s="1" t="str">
        <f>VLOOKUP(gminy_26[[#This Row],[kod strefy]],strefy_26[],2,FALSE)</f>
        <v>strefa świętokrzyska</v>
      </c>
      <c r="H43" s="40">
        <v>124450</v>
      </c>
      <c r="I43" s="40">
        <v>0</v>
      </c>
      <c r="J43" s="40">
        <v>5290</v>
      </c>
      <c r="K43" s="40">
        <v>9920</v>
      </c>
      <c r="L43" s="40">
        <v>11250</v>
      </c>
      <c r="M43" s="40">
        <v>30720</v>
      </c>
      <c r="N43" s="40">
        <v>30720</v>
      </c>
      <c r="O43" s="43">
        <v>36550</v>
      </c>
      <c r="P43" s="43">
        <v>1</v>
      </c>
      <c r="Q43" s="43">
        <v>20</v>
      </c>
    </row>
    <row r="44" spans="1:17" hidden="1" x14ac:dyDescent="0.2">
      <c r="A44" s="1" t="s">
        <v>185</v>
      </c>
      <c r="B44" s="1" t="s">
        <v>186</v>
      </c>
      <c r="C44" s="1" t="str">
        <f>gminy_26[[#This Row],[kod gminy]]</f>
        <v>2604092</v>
      </c>
      <c r="D44" s="1" t="s">
        <v>73</v>
      </c>
      <c r="E44" s="1" t="str">
        <f>VLOOKUP(gminy_26[[#This Row],[kod powiatu]],powiaty_26[],katalogi!$B$1,FALSE)</f>
        <v>kielecki</v>
      </c>
      <c r="F44" s="1" t="s">
        <v>68</v>
      </c>
      <c r="G44" s="1" t="str">
        <f>VLOOKUP(gminy_26[[#This Row],[kod strefy]],strefy_26[],2,FALSE)</f>
        <v>strefa świętokrzyska</v>
      </c>
      <c r="H44" s="40">
        <v>121970</v>
      </c>
      <c r="I44" s="40">
        <v>0</v>
      </c>
      <c r="J44" s="40">
        <v>4710</v>
      </c>
      <c r="K44" s="40">
        <v>8820</v>
      </c>
      <c r="L44" s="40">
        <v>10000</v>
      </c>
      <c r="M44" s="40">
        <v>30710</v>
      </c>
      <c r="N44" s="40">
        <v>30710</v>
      </c>
      <c r="O44" s="43">
        <v>37020</v>
      </c>
      <c r="P44" s="43">
        <v>1</v>
      </c>
      <c r="Q44" s="43">
        <v>5</v>
      </c>
    </row>
    <row r="45" spans="1:17" hidden="1" x14ac:dyDescent="0.2">
      <c r="A45" s="1" t="s">
        <v>187</v>
      </c>
      <c r="B45" s="1" t="s">
        <v>188</v>
      </c>
      <c r="C45" s="1" t="str">
        <f>gminy_26[[#This Row],[kod gminy]]</f>
        <v>2608032</v>
      </c>
      <c r="D45" s="1" t="s">
        <v>77</v>
      </c>
      <c r="E45" s="1" t="str">
        <f>VLOOKUP(gminy_26[[#This Row],[kod powiatu]],powiaty_26[],katalogi!$B$1,FALSE)</f>
        <v>pińczowski</v>
      </c>
      <c r="F45" s="1" t="s">
        <v>68</v>
      </c>
      <c r="G45" s="1" t="str">
        <f>VLOOKUP(gminy_26[[#This Row],[kod strefy]],strefy_26[],2,FALSE)</f>
        <v>strefa świętokrzyska</v>
      </c>
      <c r="H45" s="40">
        <v>49620</v>
      </c>
      <c r="I45" s="40">
        <v>0</v>
      </c>
      <c r="J45" s="40">
        <v>610</v>
      </c>
      <c r="K45" s="40">
        <v>1150</v>
      </c>
      <c r="L45" s="40">
        <v>1300</v>
      </c>
      <c r="M45" s="40">
        <v>14120</v>
      </c>
      <c r="N45" s="40">
        <v>14120</v>
      </c>
      <c r="O45" s="43">
        <v>18320</v>
      </c>
      <c r="P45" s="43">
        <v>1</v>
      </c>
      <c r="Q45" s="43">
        <v>5</v>
      </c>
    </row>
    <row r="46" spans="1:17" hidden="1" x14ac:dyDescent="0.2">
      <c r="A46" s="1" t="s">
        <v>189</v>
      </c>
      <c r="B46" s="1" t="s">
        <v>190</v>
      </c>
      <c r="C46" s="1" t="str">
        <f>gminy_26[[#This Row],[kod gminy]]</f>
        <v>2604102</v>
      </c>
      <c r="D46" s="1" t="s">
        <v>73</v>
      </c>
      <c r="E46" s="1" t="str">
        <f>VLOOKUP(gminy_26[[#This Row],[kod powiatu]],powiaty_26[],katalogi!$B$1,FALSE)</f>
        <v>kielecki</v>
      </c>
      <c r="F46" s="1" t="s">
        <v>68</v>
      </c>
      <c r="G46" s="1" t="str">
        <f>VLOOKUP(gminy_26[[#This Row],[kod strefy]],strefy_26[],2,FALSE)</f>
        <v>strefa świętokrzyska</v>
      </c>
      <c r="H46" s="40">
        <v>122280</v>
      </c>
      <c r="I46" s="40">
        <v>0</v>
      </c>
      <c r="J46" s="40">
        <v>4790</v>
      </c>
      <c r="K46" s="40">
        <v>8980</v>
      </c>
      <c r="L46" s="40">
        <v>10170</v>
      </c>
      <c r="M46" s="40">
        <v>30700</v>
      </c>
      <c r="N46" s="40">
        <v>30700</v>
      </c>
      <c r="O46" s="43">
        <v>36940</v>
      </c>
      <c r="P46" s="43">
        <v>1</v>
      </c>
      <c r="Q46" s="43">
        <v>5</v>
      </c>
    </row>
    <row r="47" spans="1:17" hidden="1" x14ac:dyDescent="0.2">
      <c r="A47" s="1" t="s">
        <v>191</v>
      </c>
      <c r="B47" s="1" t="s">
        <v>192</v>
      </c>
      <c r="C47" s="1" t="str">
        <f>gminy_26[[#This Row],[kod gminy]]</f>
        <v>2611032</v>
      </c>
      <c r="D47" s="1" t="s">
        <v>80</v>
      </c>
      <c r="E47" s="1" t="str">
        <f>VLOOKUP(gminy_26[[#This Row],[kod powiatu]],powiaty_26[],katalogi!$B$1,FALSE)</f>
        <v>starachowicki</v>
      </c>
      <c r="F47" s="1" t="s">
        <v>68</v>
      </c>
      <c r="G47" s="1" t="str">
        <f>VLOOKUP(gminy_26[[#This Row],[kod strefy]],strefy_26[],2,FALSE)</f>
        <v>strefa świętokrzyska</v>
      </c>
      <c r="H47" s="40">
        <v>84100</v>
      </c>
      <c r="I47" s="40">
        <v>0</v>
      </c>
      <c r="J47" s="40">
        <v>2380</v>
      </c>
      <c r="K47" s="40">
        <v>4460</v>
      </c>
      <c r="L47" s="40">
        <v>5050</v>
      </c>
      <c r="M47" s="40">
        <v>22260</v>
      </c>
      <c r="N47" s="40">
        <v>22260</v>
      </c>
      <c r="O47" s="43">
        <v>27690</v>
      </c>
      <c r="P47" s="43">
        <v>1</v>
      </c>
      <c r="Q47" s="43">
        <v>5</v>
      </c>
    </row>
    <row r="48" spans="1:17" hidden="1" x14ac:dyDescent="0.2">
      <c r="A48" s="1" t="s">
        <v>193</v>
      </c>
      <c r="B48" s="1" t="s">
        <v>194</v>
      </c>
      <c r="C48" s="1" t="str">
        <f>gminy_26[[#This Row],[kod gminy]]</f>
        <v>2604112</v>
      </c>
      <c r="D48" s="1" t="s">
        <v>73</v>
      </c>
      <c r="E48" s="1" t="str">
        <f>VLOOKUP(gminy_26[[#This Row],[kod powiatu]],powiaty_26[],katalogi!$B$1,FALSE)</f>
        <v>kielecki</v>
      </c>
      <c r="F48" s="1" t="s">
        <v>68</v>
      </c>
      <c r="G48" s="1" t="str">
        <f>VLOOKUP(gminy_26[[#This Row],[kod strefy]],strefy_26[],2,FALSE)</f>
        <v>strefa świętokrzyska</v>
      </c>
      <c r="H48" s="40">
        <v>112730</v>
      </c>
      <c r="I48" s="40">
        <v>0</v>
      </c>
      <c r="J48" s="40">
        <v>4530</v>
      </c>
      <c r="K48" s="40">
        <v>8490</v>
      </c>
      <c r="L48" s="40">
        <v>9620</v>
      </c>
      <c r="M48" s="40">
        <v>28160</v>
      </c>
      <c r="N48" s="40">
        <v>28160</v>
      </c>
      <c r="O48" s="43">
        <v>33770</v>
      </c>
      <c r="P48" s="43">
        <v>1</v>
      </c>
      <c r="Q48" s="43">
        <v>5</v>
      </c>
    </row>
    <row r="49" spans="1:17" hidden="1" x14ac:dyDescent="0.2">
      <c r="A49" s="1" t="s">
        <v>195</v>
      </c>
      <c r="B49" s="1" t="s">
        <v>196</v>
      </c>
      <c r="C49" s="1" t="str">
        <f>gminy_26[[#This Row],[kod gminy]]</f>
        <v>2604123</v>
      </c>
      <c r="D49" s="1" t="s">
        <v>73</v>
      </c>
      <c r="E49" s="1" t="str">
        <f>VLOOKUP(gminy_26[[#This Row],[kod powiatu]],powiaty_26[],katalogi!$B$1,FALSE)</f>
        <v>kielecki</v>
      </c>
      <c r="F49" s="1" t="s">
        <v>68</v>
      </c>
      <c r="G49" s="1" t="str">
        <f>VLOOKUP(gminy_26[[#This Row],[kod strefy]],strefy_26[],2,FALSE)</f>
        <v>strefa świętokrzyska</v>
      </c>
      <c r="H49" s="40">
        <v>162640</v>
      </c>
      <c r="I49" s="40">
        <v>0</v>
      </c>
      <c r="J49" s="40">
        <v>6360</v>
      </c>
      <c r="K49" s="40">
        <v>11910</v>
      </c>
      <c r="L49" s="40">
        <v>13500</v>
      </c>
      <c r="M49" s="40">
        <v>40850</v>
      </c>
      <c r="N49" s="40">
        <v>40850</v>
      </c>
      <c r="O49" s="43">
        <v>49170</v>
      </c>
      <c r="P49" s="43">
        <v>1</v>
      </c>
      <c r="Q49" s="43">
        <v>20</v>
      </c>
    </row>
    <row r="50" spans="1:17" x14ac:dyDescent="0.2">
      <c r="A50" s="1" t="s">
        <v>197</v>
      </c>
      <c r="B50" s="1" t="s">
        <v>198</v>
      </c>
      <c r="C50" s="1" t="str">
        <f>gminy_26[[#This Row],[kod gminy]]</f>
        <v>2613032</v>
      </c>
      <c r="D50" s="1" t="s">
        <v>82</v>
      </c>
      <c r="E50" s="1" t="str">
        <f>VLOOKUP(gminy_26[[#This Row],[kod powiatu]],powiaty_26[],katalogi!$B$1,FALSE)</f>
        <v>włoszczowski</v>
      </c>
      <c r="F50" s="1" t="s">
        <v>68</v>
      </c>
      <c r="G50" s="1" t="str">
        <f>VLOOKUP(gminy_26[[#This Row],[kod strefy]],strefy_26[],2,FALSE)</f>
        <v>strefa świętokrzyska</v>
      </c>
      <c r="H50" s="40">
        <v>21530</v>
      </c>
      <c r="I50" s="40">
        <v>0</v>
      </c>
      <c r="J50" s="40">
        <v>320</v>
      </c>
      <c r="K50" s="40">
        <v>600</v>
      </c>
      <c r="L50" s="40">
        <v>680</v>
      </c>
      <c r="M50" s="40">
        <v>6060</v>
      </c>
      <c r="N50" s="40">
        <v>6060</v>
      </c>
      <c r="O50" s="43">
        <v>7810</v>
      </c>
      <c r="P50" s="43">
        <v>1</v>
      </c>
      <c r="Q50" s="43">
        <v>5</v>
      </c>
    </row>
    <row r="51" spans="1:17" hidden="1" x14ac:dyDescent="0.2">
      <c r="A51" s="1" t="s">
        <v>199</v>
      </c>
      <c r="B51" s="1" t="s">
        <v>200</v>
      </c>
      <c r="C51" s="1" t="str">
        <f>gminy_26[[#This Row],[kod gminy]]</f>
        <v>2602042</v>
      </c>
      <c r="D51" s="1" t="s">
        <v>71</v>
      </c>
      <c r="E51" s="1" t="str">
        <f>VLOOKUP(gminy_26[[#This Row],[kod powiatu]],powiaty_26[],katalogi!$B$1,FALSE)</f>
        <v>jędrzejowski</v>
      </c>
      <c r="F51" s="1" t="s">
        <v>68</v>
      </c>
      <c r="G51" s="1" t="str">
        <f>VLOOKUP(gminy_26[[#This Row],[kod strefy]],strefy_26[],2,FALSE)</f>
        <v>strefa świętokrzyska</v>
      </c>
      <c r="H51" s="40">
        <v>53810</v>
      </c>
      <c r="I51" s="40">
        <v>0</v>
      </c>
      <c r="J51" s="40">
        <v>2280</v>
      </c>
      <c r="K51" s="40">
        <v>4260</v>
      </c>
      <c r="L51" s="40">
        <v>4830</v>
      </c>
      <c r="M51" s="40">
        <v>13300</v>
      </c>
      <c r="N51" s="40">
        <v>13300</v>
      </c>
      <c r="O51" s="43">
        <v>15840</v>
      </c>
      <c r="P51" s="43">
        <v>1</v>
      </c>
      <c r="Q51" s="43">
        <v>5</v>
      </c>
    </row>
    <row r="52" spans="1:17" hidden="1" x14ac:dyDescent="0.2">
      <c r="A52" s="1" t="s">
        <v>201</v>
      </c>
      <c r="B52" s="1" t="s">
        <v>202</v>
      </c>
      <c r="C52" s="1" t="str">
        <f>gminy_26[[#This Row],[kod gminy]]</f>
        <v>2604132</v>
      </c>
      <c r="D52" s="1" t="s">
        <v>73</v>
      </c>
      <c r="E52" s="1" t="str">
        <f>VLOOKUP(gminy_26[[#This Row],[kod powiatu]],powiaty_26[],katalogi!$B$1,FALSE)</f>
        <v>kielecki</v>
      </c>
      <c r="F52" s="1" t="s">
        <v>68</v>
      </c>
      <c r="G52" s="1" t="str">
        <f>VLOOKUP(gminy_26[[#This Row],[kod strefy]],strefy_26[],2,FALSE)</f>
        <v>strefa świętokrzyska</v>
      </c>
      <c r="H52" s="40">
        <v>113030</v>
      </c>
      <c r="I52" s="40">
        <v>0</v>
      </c>
      <c r="J52" s="40">
        <v>4500</v>
      </c>
      <c r="K52" s="40">
        <v>8430</v>
      </c>
      <c r="L52" s="40">
        <v>9550</v>
      </c>
      <c r="M52" s="40">
        <v>28290</v>
      </c>
      <c r="N52" s="40">
        <v>28290</v>
      </c>
      <c r="O52" s="43">
        <v>33970</v>
      </c>
      <c r="P52" s="43">
        <v>1</v>
      </c>
      <c r="Q52" s="43">
        <v>5</v>
      </c>
    </row>
    <row r="53" spans="1:17" hidden="1" x14ac:dyDescent="0.2">
      <c r="A53" s="1" t="s">
        <v>203</v>
      </c>
      <c r="B53" s="1" t="s">
        <v>204</v>
      </c>
      <c r="C53" s="1" t="str">
        <f>gminy_26[[#This Row],[kod gminy]]</f>
        <v>2601032</v>
      </c>
      <c r="D53" s="1" t="s">
        <v>70</v>
      </c>
      <c r="E53" s="1" t="str">
        <f>VLOOKUP(gminy_26[[#This Row],[kod powiatu]],powiaty_26[],katalogi!$B$1,FALSE)</f>
        <v>buski</v>
      </c>
      <c r="F53" s="1" t="s">
        <v>68</v>
      </c>
      <c r="G53" s="1" t="str">
        <f>VLOOKUP(gminy_26[[#This Row],[kod strefy]],strefy_26[],2,FALSE)</f>
        <v>strefa świętokrzyska</v>
      </c>
      <c r="H53" s="40">
        <v>52400</v>
      </c>
      <c r="I53" s="40">
        <v>0</v>
      </c>
      <c r="J53" s="40">
        <v>2210</v>
      </c>
      <c r="K53" s="40">
        <v>4140</v>
      </c>
      <c r="L53" s="40">
        <v>4690</v>
      </c>
      <c r="M53" s="40">
        <v>12960</v>
      </c>
      <c r="N53" s="40">
        <v>12960</v>
      </c>
      <c r="O53" s="43">
        <v>15440</v>
      </c>
      <c r="P53" s="43">
        <v>1</v>
      </c>
      <c r="Q53" s="43">
        <v>5</v>
      </c>
    </row>
    <row r="54" spans="1:17" hidden="1" x14ac:dyDescent="0.2">
      <c r="A54" s="1" t="s">
        <v>205</v>
      </c>
      <c r="B54" s="1" t="s">
        <v>206</v>
      </c>
      <c r="C54" s="1" t="str">
        <f>gminy_26[[#This Row],[kod gminy]]</f>
        <v>2609062</v>
      </c>
      <c r="D54" s="1" t="s">
        <v>78</v>
      </c>
      <c r="E54" s="1" t="str">
        <f>VLOOKUP(gminy_26[[#This Row],[kod powiatu]],powiaty_26[],katalogi!$B$1,FALSE)</f>
        <v>sandomierski</v>
      </c>
      <c r="F54" s="1" t="s">
        <v>68</v>
      </c>
      <c r="G54" s="1" t="str">
        <f>VLOOKUP(gminy_26[[#This Row],[kod strefy]],strefy_26[],2,FALSE)</f>
        <v>strefa świętokrzyska</v>
      </c>
      <c r="H54" s="40">
        <v>29580</v>
      </c>
      <c r="I54" s="40">
        <v>0</v>
      </c>
      <c r="J54" s="40">
        <v>980</v>
      </c>
      <c r="K54" s="40">
        <v>1830</v>
      </c>
      <c r="L54" s="40">
        <v>2080</v>
      </c>
      <c r="M54" s="40">
        <v>7650</v>
      </c>
      <c r="N54" s="40">
        <v>7650</v>
      </c>
      <c r="O54" s="43">
        <v>9390</v>
      </c>
      <c r="P54" s="43">
        <v>1</v>
      </c>
      <c r="Q54" s="43">
        <v>5</v>
      </c>
    </row>
    <row r="55" spans="1:17" hidden="1" x14ac:dyDescent="0.2">
      <c r="A55" s="1" t="s">
        <v>207</v>
      </c>
      <c r="B55" s="1" t="s">
        <v>208</v>
      </c>
      <c r="C55" s="1" t="str">
        <f>gminy_26[[#This Row],[kod gminy]]</f>
        <v>2602052</v>
      </c>
      <c r="D55" s="1" t="s">
        <v>71</v>
      </c>
      <c r="E55" s="1" t="str">
        <f>VLOOKUP(gminy_26[[#This Row],[kod powiatu]],powiaty_26[],katalogi!$B$1,FALSE)</f>
        <v>jędrzejowski</v>
      </c>
      <c r="F55" s="1" t="s">
        <v>68</v>
      </c>
      <c r="G55" s="1" t="str">
        <f>VLOOKUP(gminy_26[[#This Row],[kod strefy]],strefy_26[],2,FALSE)</f>
        <v>strefa świętokrzyska</v>
      </c>
      <c r="H55" s="40">
        <v>49080</v>
      </c>
      <c r="I55" s="40">
        <v>0</v>
      </c>
      <c r="J55" s="40">
        <v>2050</v>
      </c>
      <c r="K55" s="40">
        <v>3830</v>
      </c>
      <c r="L55" s="40">
        <v>4340</v>
      </c>
      <c r="M55" s="40">
        <v>12170</v>
      </c>
      <c r="N55" s="40">
        <v>12170</v>
      </c>
      <c r="O55" s="43">
        <v>14520</v>
      </c>
      <c r="P55" s="43">
        <v>1</v>
      </c>
      <c r="Q55" s="43">
        <v>5</v>
      </c>
    </row>
    <row r="56" spans="1:17" hidden="1" x14ac:dyDescent="0.2">
      <c r="A56" s="1" t="s">
        <v>209</v>
      </c>
      <c r="B56" s="1" t="s">
        <v>210</v>
      </c>
      <c r="C56" s="1" t="str">
        <f>gminy_26[[#This Row],[kod gminy]]</f>
        <v>2612032</v>
      </c>
      <c r="D56" s="1" t="s">
        <v>81</v>
      </c>
      <c r="E56" s="1" t="str">
        <f>VLOOKUP(gminy_26[[#This Row],[kod powiatu]],powiaty_26[],katalogi!$B$1,FALSE)</f>
        <v>staszowski</v>
      </c>
      <c r="F56" s="1" t="s">
        <v>68</v>
      </c>
      <c r="G56" s="1" t="str">
        <f>VLOOKUP(gminy_26[[#This Row],[kod strefy]],strefy_26[],2,FALSE)</f>
        <v>strefa świętokrzyska</v>
      </c>
      <c r="H56" s="40">
        <v>32250</v>
      </c>
      <c r="I56" s="40">
        <v>0</v>
      </c>
      <c r="J56" s="40">
        <v>1920</v>
      </c>
      <c r="K56" s="40">
        <v>3590</v>
      </c>
      <c r="L56" s="40">
        <v>4060</v>
      </c>
      <c r="M56" s="40">
        <v>7280</v>
      </c>
      <c r="N56" s="40">
        <v>7280</v>
      </c>
      <c r="O56" s="43">
        <v>8120</v>
      </c>
      <c r="P56" s="43">
        <v>1</v>
      </c>
      <c r="Q56" s="43">
        <v>5</v>
      </c>
    </row>
    <row r="57" spans="1:17" hidden="1" x14ac:dyDescent="0.2">
      <c r="A57" s="1" t="s">
        <v>211</v>
      </c>
      <c r="B57" s="1" t="s">
        <v>212</v>
      </c>
      <c r="C57" s="1" t="str">
        <f>gminy_26[[#This Row],[kod gminy]]</f>
        <v>2603042</v>
      </c>
      <c r="D57" s="1" t="s">
        <v>72</v>
      </c>
      <c r="E57" s="1" t="str">
        <f>VLOOKUP(gminy_26[[#This Row],[kod powiatu]],powiaty_26[],katalogi!$B$1,FALSE)</f>
        <v>kazimierski</v>
      </c>
      <c r="F57" s="1" t="s">
        <v>68</v>
      </c>
      <c r="G57" s="1" t="str">
        <f>VLOOKUP(gminy_26[[#This Row],[kod strefy]],strefy_26[],2,FALSE)</f>
        <v>strefa świętokrzyska</v>
      </c>
      <c r="H57" s="40">
        <v>23710</v>
      </c>
      <c r="I57" s="40">
        <v>0</v>
      </c>
      <c r="J57" s="40">
        <v>630</v>
      </c>
      <c r="K57" s="40">
        <v>1170</v>
      </c>
      <c r="L57" s="40">
        <v>1330</v>
      </c>
      <c r="M57" s="40">
        <v>6330</v>
      </c>
      <c r="N57" s="40">
        <v>6330</v>
      </c>
      <c r="O57" s="43">
        <v>7920</v>
      </c>
      <c r="P57" s="43">
        <v>1</v>
      </c>
      <c r="Q57" s="43">
        <v>5</v>
      </c>
    </row>
    <row r="58" spans="1:17" hidden="1" x14ac:dyDescent="0.2">
      <c r="A58" s="1" t="s">
        <v>213</v>
      </c>
      <c r="B58" s="1" t="s">
        <v>16</v>
      </c>
      <c r="C58" s="1" t="str">
        <f>gminy_26[[#This Row],[kod gminy]]</f>
        <v>2606043</v>
      </c>
      <c r="D58" s="1" t="s">
        <v>75</v>
      </c>
      <c r="E58" s="1" t="str">
        <f>VLOOKUP(gminy_26[[#This Row],[kod powiatu]],powiaty_26[],katalogi!$B$1,FALSE)</f>
        <v>opatowski</v>
      </c>
      <c r="F58" s="1" t="s">
        <v>68</v>
      </c>
      <c r="G58" s="1" t="str">
        <f>VLOOKUP(gminy_26[[#This Row],[kod strefy]],strefy_26[],2,FALSE)</f>
        <v>strefa świętokrzyska</v>
      </c>
      <c r="H58" s="40">
        <v>55640</v>
      </c>
      <c r="I58" s="40">
        <v>0</v>
      </c>
      <c r="J58" s="40">
        <v>470</v>
      </c>
      <c r="K58" s="40">
        <v>870</v>
      </c>
      <c r="L58" s="40">
        <v>990</v>
      </c>
      <c r="M58" s="40">
        <v>16110</v>
      </c>
      <c r="N58" s="40">
        <v>16110</v>
      </c>
      <c r="O58" s="43">
        <v>21090</v>
      </c>
      <c r="P58" s="43">
        <v>1</v>
      </c>
      <c r="Q58" s="43">
        <v>20</v>
      </c>
    </row>
    <row r="59" spans="1:17" hidden="1" x14ac:dyDescent="0.2">
      <c r="A59" s="1" t="s">
        <v>214</v>
      </c>
      <c r="B59" s="1" t="s">
        <v>215</v>
      </c>
      <c r="C59" s="1" t="str">
        <f>gminy_26[[#This Row],[kod gminy]]</f>
        <v>2612043</v>
      </c>
      <c r="D59" s="1" t="s">
        <v>81</v>
      </c>
      <c r="E59" s="1" t="str">
        <f>VLOOKUP(gminy_26[[#This Row],[kod powiatu]],powiaty_26[],katalogi!$B$1,FALSE)</f>
        <v>staszowski</v>
      </c>
      <c r="F59" s="1" t="s">
        <v>68</v>
      </c>
      <c r="G59" s="1" t="str">
        <f>VLOOKUP(gminy_26[[#This Row],[kod strefy]],strefy_26[],2,FALSE)</f>
        <v>strefa świętokrzyska</v>
      </c>
      <c r="H59" s="40">
        <v>80780</v>
      </c>
      <c r="I59" s="40">
        <v>0</v>
      </c>
      <c r="J59" s="40">
        <v>4780</v>
      </c>
      <c r="K59" s="40">
        <v>8960</v>
      </c>
      <c r="L59" s="40">
        <v>10150</v>
      </c>
      <c r="M59" s="40">
        <v>18260</v>
      </c>
      <c r="N59" s="40">
        <v>18260</v>
      </c>
      <c r="O59" s="43">
        <v>20370</v>
      </c>
      <c r="P59" s="43">
        <v>1</v>
      </c>
      <c r="Q59" s="43">
        <v>20</v>
      </c>
    </row>
    <row r="60" spans="1:17" hidden="1" x14ac:dyDescent="0.2">
      <c r="A60" s="1" t="s">
        <v>216</v>
      </c>
      <c r="B60" s="1" t="s">
        <v>217</v>
      </c>
      <c r="C60" s="1" t="str">
        <f>gminy_26[[#This Row],[kod gminy]]</f>
        <v>2607011</v>
      </c>
      <c r="D60" s="1" t="s">
        <v>76</v>
      </c>
      <c r="E60" s="1" t="str">
        <f>VLOOKUP(gminy_26[[#This Row],[kod powiatu]],powiaty_26[],katalogi!$B$1,FALSE)</f>
        <v>ostrowiecki</v>
      </c>
      <c r="F60" s="1" t="s">
        <v>68</v>
      </c>
      <c r="G60" s="1" t="str">
        <f>VLOOKUP(gminy_26[[#This Row],[kod strefy]],strefy_26[],2,FALSE)</f>
        <v>strefa świętokrzyska</v>
      </c>
      <c r="H60" s="40">
        <v>424670</v>
      </c>
      <c r="I60" s="40">
        <v>0</v>
      </c>
      <c r="J60" s="40">
        <v>18390</v>
      </c>
      <c r="K60" s="40">
        <v>34470</v>
      </c>
      <c r="L60" s="40">
        <v>39070</v>
      </c>
      <c r="M60" s="40">
        <v>104420</v>
      </c>
      <c r="N60" s="40">
        <v>104420</v>
      </c>
      <c r="O60" s="43">
        <v>123900</v>
      </c>
      <c r="P60" s="43">
        <v>1</v>
      </c>
      <c r="Q60" s="43">
        <v>20</v>
      </c>
    </row>
    <row r="61" spans="1:17" hidden="1" x14ac:dyDescent="0.2">
      <c r="A61" s="1" t="s">
        <v>218</v>
      </c>
      <c r="B61" s="1" t="s">
        <v>219</v>
      </c>
      <c r="C61" s="1" t="str">
        <f>gminy_26[[#This Row],[kod gminy]]</f>
        <v>2606053</v>
      </c>
      <c r="D61" s="1" t="s">
        <v>75</v>
      </c>
      <c r="E61" s="1" t="str">
        <f>VLOOKUP(gminy_26[[#This Row],[kod powiatu]],powiaty_26[],katalogi!$B$1,FALSE)</f>
        <v>opatowski</v>
      </c>
      <c r="F61" s="1" t="s">
        <v>68</v>
      </c>
      <c r="G61" s="1" t="str">
        <f>VLOOKUP(gminy_26[[#This Row],[kod strefy]],strefy_26[],2,FALSE)</f>
        <v>strefa świętokrzyska</v>
      </c>
      <c r="H61" s="40">
        <v>66720</v>
      </c>
      <c r="I61" s="40">
        <v>0</v>
      </c>
      <c r="J61" s="40">
        <v>630</v>
      </c>
      <c r="K61" s="40">
        <v>1180</v>
      </c>
      <c r="L61" s="40">
        <v>1330</v>
      </c>
      <c r="M61" s="40">
        <v>19230</v>
      </c>
      <c r="N61" s="40">
        <v>19230</v>
      </c>
      <c r="O61" s="43">
        <v>25120</v>
      </c>
      <c r="P61" s="43">
        <v>1</v>
      </c>
      <c r="Q61" s="43">
        <v>20</v>
      </c>
    </row>
    <row r="62" spans="1:17" hidden="1" x14ac:dyDescent="0.2">
      <c r="A62" s="1" t="s">
        <v>220</v>
      </c>
      <c r="B62" s="1" t="s">
        <v>221</v>
      </c>
      <c r="C62" s="1" t="str">
        <f>gminy_26[[#This Row],[kod gminy]]</f>
        <v>2601042</v>
      </c>
      <c r="D62" s="1" t="s">
        <v>70</v>
      </c>
      <c r="E62" s="1" t="str">
        <f>VLOOKUP(gminy_26[[#This Row],[kod powiatu]],powiaty_26[],katalogi!$B$1,FALSE)</f>
        <v>buski</v>
      </c>
      <c r="F62" s="1" t="s">
        <v>68</v>
      </c>
      <c r="G62" s="1" t="str">
        <f>VLOOKUP(gminy_26[[#This Row],[kod strefy]],strefy_26[],2,FALSE)</f>
        <v>strefa świętokrzyska</v>
      </c>
      <c r="H62" s="40">
        <v>69270</v>
      </c>
      <c r="I62" s="40">
        <v>0</v>
      </c>
      <c r="J62" s="40">
        <v>2860</v>
      </c>
      <c r="K62" s="40">
        <v>5350</v>
      </c>
      <c r="L62" s="40">
        <v>6070</v>
      </c>
      <c r="M62" s="40">
        <v>17210</v>
      </c>
      <c r="N62" s="40">
        <v>17210</v>
      </c>
      <c r="O62" s="43">
        <v>20570</v>
      </c>
      <c r="P62" s="43">
        <v>1</v>
      </c>
      <c r="Q62" s="43">
        <v>5</v>
      </c>
    </row>
    <row r="63" spans="1:17" hidden="1" x14ac:dyDescent="0.2">
      <c r="A63" s="1" t="s">
        <v>222</v>
      </c>
      <c r="B63" s="1" t="s">
        <v>223</v>
      </c>
      <c r="C63" s="1" t="str">
        <f>gminy_26[[#This Row],[kod gminy]]</f>
        <v>2611042</v>
      </c>
      <c r="D63" s="1" t="s">
        <v>80</v>
      </c>
      <c r="E63" s="1" t="str">
        <f>VLOOKUP(gminy_26[[#This Row],[kod powiatu]],powiaty_26[],katalogi!$B$1,FALSE)</f>
        <v>starachowicki</v>
      </c>
      <c r="F63" s="1" t="s">
        <v>68</v>
      </c>
      <c r="G63" s="1" t="str">
        <f>VLOOKUP(gminy_26[[#This Row],[kod strefy]],strefy_26[],2,FALSE)</f>
        <v>strefa świętokrzyska</v>
      </c>
      <c r="H63" s="40">
        <v>154410</v>
      </c>
      <c r="I63" s="40">
        <v>0</v>
      </c>
      <c r="J63" s="40">
        <v>4410</v>
      </c>
      <c r="K63" s="40">
        <v>8270</v>
      </c>
      <c r="L63" s="40">
        <v>9370</v>
      </c>
      <c r="M63" s="40">
        <v>40810</v>
      </c>
      <c r="N63" s="40">
        <v>40810</v>
      </c>
      <c r="O63" s="43">
        <v>50740</v>
      </c>
      <c r="P63" s="43">
        <v>1</v>
      </c>
      <c r="Q63" s="43">
        <v>5</v>
      </c>
    </row>
    <row r="64" spans="1:17" hidden="1" x14ac:dyDescent="0.2">
      <c r="A64" s="1" t="s">
        <v>224</v>
      </c>
      <c r="B64" s="1" t="s">
        <v>225</v>
      </c>
      <c r="C64" s="1" t="str">
        <f>gminy_26[[#This Row],[kod gminy]]</f>
        <v>2604142</v>
      </c>
      <c r="D64" s="1" t="s">
        <v>73</v>
      </c>
      <c r="E64" s="1" t="str">
        <f>VLOOKUP(gminy_26[[#This Row],[kod powiatu]],powiaty_26[],katalogi!$B$1,FALSE)</f>
        <v>kielecki</v>
      </c>
      <c r="F64" s="1" t="s">
        <v>68</v>
      </c>
      <c r="G64" s="1" t="str">
        <f>VLOOKUP(gminy_26[[#This Row],[kod strefy]],strefy_26[],2,FALSE)</f>
        <v>strefa świętokrzyska</v>
      </c>
      <c r="H64" s="40">
        <v>194000</v>
      </c>
      <c r="I64" s="40">
        <v>0</v>
      </c>
      <c r="J64" s="40">
        <v>7640</v>
      </c>
      <c r="K64" s="40">
        <v>14320</v>
      </c>
      <c r="L64" s="40">
        <v>16230</v>
      </c>
      <c r="M64" s="40">
        <v>48650</v>
      </c>
      <c r="N64" s="40">
        <v>48650</v>
      </c>
      <c r="O64" s="43">
        <v>58510</v>
      </c>
      <c r="P64" s="43">
        <v>1</v>
      </c>
      <c r="Q64" s="43">
        <v>5</v>
      </c>
    </row>
    <row r="65" spans="1:17" hidden="1" x14ac:dyDescent="0.2">
      <c r="A65" s="1" t="s">
        <v>226</v>
      </c>
      <c r="B65" s="1" t="s">
        <v>227</v>
      </c>
      <c r="C65" s="1" t="str">
        <f>gminy_26[[#This Row],[kod gminy]]</f>
        <v>2604152</v>
      </c>
      <c r="D65" s="1" t="s">
        <v>73</v>
      </c>
      <c r="E65" s="1" t="str">
        <f>VLOOKUP(gminy_26[[#This Row],[kod powiatu]],powiaty_26[],katalogi!$B$1,FALSE)</f>
        <v>kielecki</v>
      </c>
      <c r="F65" s="1" t="s">
        <v>68</v>
      </c>
      <c r="G65" s="1" t="str">
        <f>VLOOKUP(gminy_26[[#This Row],[kod strefy]],strefy_26[],2,FALSE)</f>
        <v>strefa świętokrzyska</v>
      </c>
      <c r="H65" s="40">
        <v>55590</v>
      </c>
      <c r="I65" s="40">
        <v>0</v>
      </c>
      <c r="J65" s="40">
        <v>2190</v>
      </c>
      <c r="K65" s="40">
        <v>4110</v>
      </c>
      <c r="L65" s="40">
        <v>4650</v>
      </c>
      <c r="M65" s="40">
        <v>13940</v>
      </c>
      <c r="N65" s="40">
        <v>13940</v>
      </c>
      <c r="O65" s="43">
        <v>16760</v>
      </c>
      <c r="P65" s="43">
        <v>1</v>
      </c>
      <c r="Q65" s="43">
        <v>5</v>
      </c>
    </row>
    <row r="66" spans="1:17" hidden="1" x14ac:dyDescent="0.2">
      <c r="A66" s="1" t="s">
        <v>228</v>
      </c>
      <c r="B66" s="1" t="s">
        <v>229</v>
      </c>
      <c r="C66" s="1" t="str">
        <f>gminy_26[[#This Row],[kod gminy]]</f>
        <v>2608043</v>
      </c>
      <c r="D66" s="1" t="s">
        <v>77</v>
      </c>
      <c r="E66" s="1" t="str">
        <f>VLOOKUP(gminy_26[[#This Row],[kod powiatu]],powiaty_26[],katalogi!$B$1,FALSE)</f>
        <v>pińczowski</v>
      </c>
      <c r="F66" s="1" t="s">
        <v>68</v>
      </c>
      <c r="G66" s="1" t="str">
        <f>VLOOKUP(gminy_26[[#This Row],[kod strefy]],strefy_26[],2,FALSE)</f>
        <v>strefa świętokrzyska</v>
      </c>
      <c r="H66" s="40">
        <v>161340</v>
      </c>
      <c r="I66" s="40">
        <v>0</v>
      </c>
      <c r="J66" s="40">
        <v>2080</v>
      </c>
      <c r="K66" s="40">
        <v>3900</v>
      </c>
      <c r="L66" s="40">
        <v>4420</v>
      </c>
      <c r="M66" s="40">
        <v>45800</v>
      </c>
      <c r="N66" s="40">
        <v>45800</v>
      </c>
      <c r="O66" s="43">
        <v>59340</v>
      </c>
      <c r="P66" s="43">
        <v>1</v>
      </c>
      <c r="Q66" s="43">
        <v>20</v>
      </c>
    </row>
    <row r="67" spans="1:17" hidden="1" x14ac:dyDescent="0.2">
      <c r="A67" s="1" t="s">
        <v>230</v>
      </c>
      <c r="B67" s="1" t="s">
        <v>231</v>
      </c>
      <c r="C67" s="1" t="str">
        <f>gminy_26[[#This Row],[kod gminy]]</f>
        <v>2612053</v>
      </c>
      <c r="D67" s="1" t="s">
        <v>81</v>
      </c>
      <c r="E67" s="1" t="str">
        <f>VLOOKUP(gminy_26[[#This Row],[kod powiatu]],powiaty_26[],katalogi!$B$1,FALSE)</f>
        <v>staszowski</v>
      </c>
      <c r="F67" s="1" t="s">
        <v>68</v>
      </c>
      <c r="G67" s="1" t="str">
        <f>VLOOKUP(gminy_26[[#This Row],[kod strefy]],strefy_26[],2,FALSE)</f>
        <v>strefa świętokrzyska</v>
      </c>
      <c r="H67" s="40">
        <v>100530</v>
      </c>
      <c r="I67" s="40">
        <v>0</v>
      </c>
      <c r="J67" s="40">
        <v>5940</v>
      </c>
      <c r="K67" s="40">
        <v>11130</v>
      </c>
      <c r="L67" s="40">
        <v>12610</v>
      </c>
      <c r="M67" s="40">
        <v>22740</v>
      </c>
      <c r="N67" s="40">
        <v>22740</v>
      </c>
      <c r="O67" s="43">
        <v>25370</v>
      </c>
      <c r="P67" s="43">
        <v>1</v>
      </c>
      <c r="Q67" s="43">
        <v>20</v>
      </c>
    </row>
    <row r="68" spans="1:17" x14ac:dyDescent="0.2">
      <c r="A68" s="1" t="s">
        <v>232</v>
      </c>
      <c r="B68" s="1" t="s">
        <v>233</v>
      </c>
      <c r="C68" s="1" t="str">
        <f>gminy_26[[#This Row],[kod gminy]]</f>
        <v>2613042</v>
      </c>
      <c r="D68" s="1" t="s">
        <v>82</v>
      </c>
      <c r="E68" s="1" t="str">
        <f>VLOOKUP(gminy_26[[#This Row],[kod powiatu]],powiaty_26[],katalogi!$B$1,FALSE)</f>
        <v>włoszczowski</v>
      </c>
      <c r="F68" s="1" t="s">
        <v>68</v>
      </c>
      <c r="G68" s="1" t="str">
        <f>VLOOKUP(gminy_26[[#This Row],[kod strefy]],strefy_26[],2,FALSE)</f>
        <v>strefa świętokrzyska</v>
      </c>
      <c r="H68" s="40">
        <v>19450</v>
      </c>
      <c r="I68" s="40">
        <v>0</v>
      </c>
      <c r="J68" s="40">
        <v>250</v>
      </c>
      <c r="K68" s="40">
        <v>470</v>
      </c>
      <c r="L68" s="40">
        <v>540</v>
      </c>
      <c r="M68" s="40">
        <v>5520</v>
      </c>
      <c r="N68" s="40">
        <v>5520</v>
      </c>
      <c r="O68" s="43">
        <v>7150</v>
      </c>
      <c r="P68" s="43">
        <v>1</v>
      </c>
      <c r="Q68" s="43">
        <v>5</v>
      </c>
    </row>
    <row r="69" spans="1:17" hidden="1" x14ac:dyDescent="0.2">
      <c r="A69" s="1" t="s">
        <v>234</v>
      </c>
      <c r="B69" s="1" t="s">
        <v>235</v>
      </c>
      <c r="C69" s="1" t="str">
        <f>gminy_26[[#This Row],[kod gminy]]</f>
        <v>2605043</v>
      </c>
      <c r="D69" s="1" t="s">
        <v>74</v>
      </c>
      <c r="E69" s="1" t="str">
        <f>VLOOKUP(gminy_26[[#This Row],[kod powiatu]],powiaty_26[],katalogi!$B$1,FALSE)</f>
        <v>konecki</v>
      </c>
      <c r="F69" s="1" t="s">
        <v>68</v>
      </c>
      <c r="G69" s="1" t="str">
        <f>VLOOKUP(gminy_26[[#This Row],[kod strefy]],strefy_26[],2,FALSE)</f>
        <v>strefa świętokrzyska</v>
      </c>
      <c r="H69" s="40">
        <v>90640</v>
      </c>
      <c r="I69" s="40">
        <v>0</v>
      </c>
      <c r="J69" s="40">
        <v>2780</v>
      </c>
      <c r="K69" s="40">
        <v>5200</v>
      </c>
      <c r="L69" s="40">
        <v>5900</v>
      </c>
      <c r="M69" s="40">
        <v>23720</v>
      </c>
      <c r="N69" s="40">
        <v>23720</v>
      </c>
      <c r="O69" s="43">
        <v>29320</v>
      </c>
      <c r="P69" s="43">
        <v>1</v>
      </c>
      <c r="Q69" s="43">
        <v>20</v>
      </c>
    </row>
    <row r="70" spans="1:17" hidden="1" x14ac:dyDescent="0.2">
      <c r="A70" s="1" t="s">
        <v>236</v>
      </c>
      <c r="B70" s="1" t="s">
        <v>237</v>
      </c>
      <c r="C70" s="1" t="str">
        <f>gminy_26[[#This Row],[kod gminy]]</f>
        <v>2604162</v>
      </c>
      <c r="D70" s="1" t="s">
        <v>73</v>
      </c>
      <c r="E70" s="1" t="str">
        <f>VLOOKUP(gminy_26[[#This Row],[kod powiatu]],powiaty_26[],katalogi!$B$1,FALSE)</f>
        <v>kielecki</v>
      </c>
      <c r="F70" s="1" t="s">
        <v>68</v>
      </c>
      <c r="G70" s="1" t="str">
        <f>VLOOKUP(gminy_26[[#This Row],[kod strefy]],strefy_26[],2,FALSE)</f>
        <v>strefa świętokrzyska</v>
      </c>
      <c r="H70" s="40">
        <v>66280</v>
      </c>
      <c r="I70" s="40">
        <v>0</v>
      </c>
      <c r="J70" s="40">
        <v>2610</v>
      </c>
      <c r="K70" s="40">
        <v>4880</v>
      </c>
      <c r="L70" s="40">
        <v>5530</v>
      </c>
      <c r="M70" s="40">
        <v>16630</v>
      </c>
      <c r="N70" s="40">
        <v>16630</v>
      </c>
      <c r="O70" s="43">
        <v>20000</v>
      </c>
      <c r="P70" s="43">
        <v>1</v>
      </c>
      <c r="Q70" s="43">
        <v>5</v>
      </c>
    </row>
    <row r="71" spans="1:17" hidden="1" x14ac:dyDescent="0.2">
      <c r="A71" s="1" t="s">
        <v>238</v>
      </c>
      <c r="B71" s="1" t="s">
        <v>239</v>
      </c>
      <c r="C71" s="1" t="str">
        <f>gminy_26[[#This Row],[kod gminy]]</f>
        <v>2605052</v>
      </c>
      <c r="D71" s="1" t="s">
        <v>74</v>
      </c>
      <c r="E71" s="1" t="str">
        <f>VLOOKUP(gminy_26[[#This Row],[kod powiatu]],powiaty_26[],katalogi!$B$1,FALSE)</f>
        <v>konecki</v>
      </c>
      <c r="F71" s="1" t="s">
        <v>68</v>
      </c>
      <c r="G71" s="1" t="str">
        <f>VLOOKUP(gminy_26[[#This Row],[kod strefy]],strefy_26[],2,FALSE)</f>
        <v>strefa świętokrzyska</v>
      </c>
      <c r="H71" s="40">
        <v>30150</v>
      </c>
      <c r="I71" s="40">
        <v>0</v>
      </c>
      <c r="J71" s="40">
        <v>860</v>
      </c>
      <c r="K71" s="40">
        <v>1610</v>
      </c>
      <c r="L71" s="40">
        <v>1820</v>
      </c>
      <c r="M71" s="40">
        <v>7970</v>
      </c>
      <c r="N71" s="40">
        <v>7970</v>
      </c>
      <c r="O71" s="43">
        <v>9920</v>
      </c>
      <c r="P71" s="43">
        <v>1</v>
      </c>
      <c r="Q71" s="43">
        <v>5</v>
      </c>
    </row>
    <row r="72" spans="1:17" hidden="1" x14ac:dyDescent="0.2">
      <c r="A72" s="1" t="s">
        <v>240</v>
      </c>
      <c r="B72" s="1" t="s">
        <v>241</v>
      </c>
      <c r="C72" s="1" t="str">
        <f>gminy_26[[#This Row],[kod gminy]]</f>
        <v>2612062</v>
      </c>
      <c r="D72" s="1" t="s">
        <v>81</v>
      </c>
      <c r="E72" s="1" t="str">
        <f>VLOOKUP(gminy_26[[#This Row],[kod powiatu]],powiaty_26[],katalogi!$B$1,FALSE)</f>
        <v>staszowski</v>
      </c>
      <c r="F72" s="1" t="s">
        <v>68</v>
      </c>
      <c r="G72" s="1" t="str">
        <f>VLOOKUP(gminy_26[[#This Row],[kod strefy]],strefy_26[],2,FALSE)</f>
        <v>strefa świętokrzyska</v>
      </c>
      <c r="H72" s="40">
        <v>60580</v>
      </c>
      <c r="I72" s="40">
        <v>0</v>
      </c>
      <c r="J72" s="40">
        <v>3550</v>
      </c>
      <c r="K72" s="40">
        <v>6650</v>
      </c>
      <c r="L72" s="40">
        <v>7540</v>
      </c>
      <c r="M72" s="40">
        <v>13740</v>
      </c>
      <c r="N72" s="40">
        <v>13740</v>
      </c>
      <c r="O72" s="43">
        <v>15360</v>
      </c>
      <c r="P72" s="43">
        <v>1</v>
      </c>
      <c r="Q72" s="43">
        <v>5</v>
      </c>
    </row>
    <row r="73" spans="1:17" hidden="1" x14ac:dyDescent="0.2">
      <c r="A73" s="1" t="s">
        <v>242</v>
      </c>
      <c r="B73" s="1" t="s">
        <v>243</v>
      </c>
      <c r="C73" s="1" t="str">
        <f>gminy_26[[#This Row],[kod gminy]]</f>
        <v>2606062</v>
      </c>
      <c r="D73" s="1" t="s">
        <v>75</v>
      </c>
      <c r="E73" s="1" t="str">
        <f>VLOOKUP(gminy_26[[#This Row],[kod powiatu]],powiaty_26[],katalogi!$B$1,FALSE)</f>
        <v>opatowski</v>
      </c>
      <c r="F73" s="1" t="s">
        <v>68</v>
      </c>
      <c r="G73" s="1" t="str">
        <f>VLOOKUP(gminy_26[[#This Row],[kod strefy]],strefy_26[],2,FALSE)</f>
        <v>strefa świętokrzyska</v>
      </c>
      <c r="H73" s="40">
        <v>23480</v>
      </c>
      <c r="I73" s="40">
        <v>0</v>
      </c>
      <c r="J73" s="40">
        <v>130</v>
      </c>
      <c r="K73" s="40">
        <v>250</v>
      </c>
      <c r="L73" s="40">
        <v>280</v>
      </c>
      <c r="M73" s="40">
        <v>6880</v>
      </c>
      <c r="N73" s="40">
        <v>6880</v>
      </c>
      <c r="O73" s="43">
        <v>9060</v>
      </c>
      <c r="P73" s="43">
        <v>1</v>
      </c>
      <c r="Q73" s="43">
        <v>5</v>
      </c>
    </row>
    <row r="74" spans="1:17" hidden="1" x14ac:dyDescent="0.2">
      <c r="A74" s="1" t="s">
        <v>244</v>
      </c>
      <c r="B74" s="1" t="s">
        <v>245</v>
      </c>
      <c r="C74" s="1" t="str">
        <f>gminy_26[[#This Row],[kod gminy]]</f>
        <v>2609072</v>
      </c>
      <c r="D74" s="1" t="s">
        <v>78</v>
      </c>
      <c r="E74" s="1" t="str">
        <f>VLOOKUP(gminy_26[[#This Row],[kod powiatu]],powiaty_26[],katalogi!$B$1,FALSE)</f>
        <v>sandomierski</v>
      </c>
      <c r="F74" s="1" t="s">
        <v>68</v>
      </c>
      <c r="G74" s="1" t="str">
        <f>VLOOKUP(gminy_26[[#This Row],[kod strefy]],strefy_26[],2,FALSE)</f>
        <v>strefa świętokrzyska</v>
      </c>
      <c r="H74" s="40">
        <v>36460</v>
      </c>
      <c r="I74" s="40">
        <v>0</v>
      </c>
      <c r="J74" s="40">
        <v>1220</v>
      </c>
      <c r="K74" s="40">
        <v>2280</v>
      </c>
      <c r="L74" s="40">
        <v>2580</v>
      </c>
      <c r="M74" s="40">
        <v>9420</v>
      </c>
      <c r="N74" s="40">
        <v>9420</v>
      </c>
      <c r="O74" s="43">
        <v>11540</v>
      </c>
      <c r="P74" s="43">
        <v>1</v>
      </c>
      <c r="Q74" s="43">
        <v>5</v>
      </c>
    </row>
    <row r="75" spans="1:17" hidden="1" x14ac:dyDescent="0.2">
      <c r="A75" s="1" t="s">
        <v>246</v>
      </c>
      <c r="B75" s="1" t="s">
        <v>247</v>
      </c>
      <c r="C75" s="1" t="str">
        <f>gminy_26[[#This Row],[kod gminy]]</f>
        <v>2609011</v>
      </c>
      <c r="D75" s="1" t="s">
        <v>78</v>
      </c>
      <c r="E75" s="1" t="str">
        <f>VLOOKUP(gminy_26[[#This Row],[kod powiatu]],powiaty_26[],katalogi!$B$1,FALSE)</f>
        <v>sandomierski</v>
      </c>
      <c r="F75" s="1" t="s">
        <v>68</v>
      </c>
      <c r="G75" s="1" t="str">
        <f>VLOOKUP(gminy_26[[#This Row],[kod strefy]],strefy_26[],2,FALSE)</f>
        <v>strefa świętokrzyska</v>
      </c>
      <c r="H75" s="40">
        <v>73140</v>
      </c>
      <c r="I75" s="40">
        <v>0</v>
      </c>
      <c r="J75" s="40">
        <v>2570</v>
      </c>
      <c r="K75" s="40">
        <v>4820</v>
      </c>
      <c r="L75" s="40">
        <v>5470</v>
      </c>
      <c r="M75" s="40">
        <v>18730</v>
      </c>
      <c r="N75" s="40">
        <v>18730</v>
      </c>
      <c r="O75" s="43">
        <v>22820</v>
      </c>
      <c r="P75" s="43">
        <v>1</v>
      </c>
      <c r="Q75" s="43">
        <v>20</v>
      </c>
    </row>
    <row r="76" spans="1:17" x14ac:dyDescent="0.2">
      <c r="A76" s="1" t="s">
        <v>248</v>
      </c>
      <c r="B76" s="1" t="s">
        <v>249</v>
      </c>
      <c r="C76" s="1" t="str">
        <f>gminy_26[[#This Row],[kod gminy]]</f>
        <v>2613052</v>
      </c>
      <c r="D76" s="1" t="s">
        <v>82</v>
      </c>
      <c r="E76" s="1" t="str">
        <f>VLOOKUP(gminy_26[[#This Row],[kod powiatu]],powiaty_26[],katalogi!$B$1,FALSE)</f>
        <v>włoszczowski</v>
      </c>
      <c r="F76" s="1" t="s">
        <v>68</v>
      </c>
      <c r="G76" s="1" t="str">
        <f>VLOOKUP(gminy_26[[#This Row],[kod strefy]],strefy_26[],2,FALSE)</f>
        <v>strefa świętokrzyska</v>
      </c>
      <c r="H76" s="40">
        <v>38170</v>
      </c>
      <c r="I76" s="40">
        <v>0</v>
      </c>
      <c r="J76" s="40">
        <v>540</v>
      </c>
      <c r="K76" s="40">
        <v>1010</v>
      </c>
      <c r="L76" s="40">
        <v>1140</v>
      </c>
      <c r="M76" s="40">
        <v>10780</v>
      </c>
      <c r="N76" s="40">
        <v>10780</v>
      </c>
      <c r="O76" s="43">
        <v>13920</v>
      </c>
      <c r="P76" s="43">
        <v>1</v>
      </c>
      <c r="Q76" s="43">
        <v>5</v>
      </c>
    </row>
    <row r="77" spans="1:17" hidden="1" x14ac:dyDescent="0.2">
      <c r="A77" s="1" t="s">
        <v>250</v>
      </c>
      <c r="B77" s="1" t="s">
        <v>251</v>
      </c>
      <c r="C77" s="1" t="str">
        <f>gminy_26[[#This Row],[kod gminy]]</f>
        <v>2602063</v>
      </c>
      <c r="D77" s="1" t="s">
        <v>71</v>
      </c>
      <c r="E77" s="1" t="str">
        <f>VLOOKUP(gminy_26[[#This Row],[kod powiatu]],powiaty_26[],katalogi!$B$1,FALSE)</f>
        <v>jędrzejowski</v>
      </c>
      <c r="F77" s="1" t="s">
        <v>68</v>
      </c>
      <c r="G77" s="1" t="str">
        <f>VLOOKUP(gminy_26[[#This Row],[kod strefy]],strefy_26[],2,FALSE)</f>
        <v>strefa świętokrzyska</v>
      </c>
      <c r="H77" s="40">
        <v>127570</v>
      </c>
      <c r="I77" s="40">
        <v>0</v>
      </c>
      <c r="J77" s="40">
        <v>5390</v>
      </c>
      <c r="K77" s="40">
        <v>10110</v>
      </c>
      <c r="L77" s="40">
        <v>11460</v>
      </c>
      <c r="M77" s="40">
        <v>31530</v>
      </c>
      <c r="N77" s="40">
        <v>31530</v>
      </c>
      <c r="O77" s="43">
        <v>37550</v>
      </c>
      <c r="P77" s="43">
        <v>1</v>
      </c>
      <c r="Q77" s="43">
        <v>20</v>
      </c>
    </row>
    <row r="78" spans="1:17" hidden="1" x14ac:dyDescent="0.2">
      <c r="A78" s="1" t="s">
        <v>252</v>
      </c>
      <c r="B78" s="1" t="s">
        <v>253</v>
      </c>
      <c r="C78" s="1" t="str">
        <f>gminy_26[[#This Row],[kod gminy]]</f>
        <v>2604172</v>
      </c>
      <c r="D78" s="1" t="s">
        <v>73</v>
      </c>
      <c r="E78" s="1" t="str">
        <f>VLOOKUP(gminy_26[[#This Row],[kod powiatu]],powiaty_26[],katalogi!$B$1,FALSE)</f>
        <v>kielecki</v>
      </c>
      <c r="F78" s="1" t="s">
        <v>68</v>
      </c>
      <c r="G78" s="1" t="str">
        <f>VLOOKUP(gminy_26[[#This Row],[kod strefy]],strefy_26[],2,FALSE)</f>
        <v>strefa świętokrzyska</v>
      </c>
      <c r="H78" s="40">
        <v>88770</v>
      </c>
      <c r="I78" s="40">
        <v>0</v>
      </c>
      <c r="J78" s="40">
        <v>3530</v>
      </c>
      <c r="K78" s="40">
        <v>6620</v>
      </c>
      <c r="L78" s="40">
        <v>7500</v>
      </c>
      <c r="M78" s="40">
        <v>22220</v>
      </c>
      <c r="N78" s="40">
        <v>22220</v>
      </c>
      <c r="O78" s="43">
        <v>26680</v>
      </c>
      <c r="P78" s="43">
        <v>1</v>
      </c>
      <c r="Q78" s="43">
        <v>5</v>
      </c>
    </row>
    <row r="79" spans="1:17" hidden="1" x14ac:dyDescent="0.2">
      <c r="A79" s="1" t="s">
        <v>254</v>
      </c>
      <c r="B79" s="1" t="s">
        <v>255</v>
      </c>
      <c r="C79" s="1" t="str">
        <f>gminy_26[[#This Row],[kod gminy]]</f>
        <v>2603053</v>
      </c>
      <c r="D79" s="1" t="s">
        <v>72</v>
      </c>
      <c r="E79" s="1" t="str">
        <f>VLOOKUP(gminy_26[[#This Row],[kod powiatu]],powiaty_26[],katalogi!$B$1,FALSE)</f>
        <v>kazimierski</v>
      </c>
      <c r="F79" s="1" t="s">
        <v>68</v>
      </c>
      <c r="G79" s="1" t="str">
        <f>VLOOKUP(gminy_26[[#This Row],[kod strefy]],strefy_26[],2,FALSE)</f>
        <v>strefa świętokrzyska</v>
      </c>
      <c r="H79" s="40">
        <v>47650</v>
      </c>
      <c r="I79" s="40">
        <v>0</v>
      </c>
      <c r="J79" s="40">
        <v>1370</v>
      </c>
      <c r="K79" s="40">
        <v>2570</v>
      </c>
      <c r="L79" s="40">
        <v>2920</v>
      </c>
      <c r="M79" s="40">
        <v>12580</v>
      </c>
      <c r="N79" s="40">
        <v>12580</v>
      </c>
      <c r="O79" s="43">
        <v>15630</v>
      </c>
      <c r="P79" s="43">
        <v>1</v>
      </c>
      <c r="Q79" s="43">
        <v>20</v>
      </c>
    </row>
    <row r="80" spans="1:17" hidden="1" x14ac:dyDescent="0.2">
      <c r="A80" s="1" t="s">
        <v>256</v>
      </c>
      <c r="B80" s="1" t="s">
        <v>257</v>
      </c>
      <c r="C80" s="1" t="str">
        <f>gminy_26[[#This Row],[kod gminy]]</f>
        <v>2610042</v>
      </c>
      <c r="D80" s="1" t="s">
        <v>79</v>
      </c>
      <c r="E80" s="1" t="str">
        <f>VLOOKUP(gminy_26[[#This Row],[kod powiatu]],powiaty_26[],katalogi!$B$1,FALSE)</f>
        <v>skarżyski</v>
      </c>
      <c r="F80" s="1" t="s">
        <v>68</v>
      </c>
      <c r="G80" s="1" t="str">
        <f>VLOOKUP(gminy_26[[#This Row],[kod strefy]],strefy_26[],2,FALSE)</f>
        <v>strefa świętokrzyska</v>
      </c>
      <c r="H80" s="40">
        <v>64660</v>
      </c>
      <c r="I80" s="40">
        <v>0</v>
      </c>
      <c r="J80" s="40">
        <v>1720</v>
      </c>
      <c r="K80" s="40">
        <v>3220</v>
      </c>
      <c r="L80" s="40">
        <v>3650</v>
      </c>
      <c r="M80" s="40">
        <v>17250</v>
      </c>
      <c r="N80" s="40">
        <v>17250</v>
      </c>
      <c r="O80" s="43">
        <v>21570</v>
      </c>
      <c r="P80" s="43">
        <v>1</v>
      </c>
      <c r="Q80" s="43">
        <v>5</v>
      </c>
    </row>
    <row r="81" spans="1:17" hidden="1" x14ac:dyDescent="0.2">
      <c r="A81" s="1" t="s">
        <v>258</v>
      </c>
      <c r="B81" s="1" t="s">
        <v>259</v>
      </c>
      <c r="C81" s="1" t="str">
        <f>gminy_26[[#This Row],[kod gminy]]</f>
        <v>2610011</v>
      </c>
      <c r="D81" s="1" t="s">
        <v>79</v>
      </c>
      <c r="E81" s="1" t="str">
        <f>VLOOKUP(gminy_26[[#This Row],[kod powiatu]],powiaty_26[],katalogi!$B$1,FALSE)</f>
        <v>skarżyski</v>
      </c>
      <c r="F81" s="1" t="s">
        <v>68</v>
      </c>
      <c r="G81" s="1" t="str">
        <f>VLOOKUP(gminy_26[[#This Row],[kod strefy]],strefy_26[],2,FALSE)</f>
        <v>strefa świętokrzyska</v>
      </c>
      <c r="H81" s="40">
        <v>259800</v>
      </c>
      <c r="I81" s="40">
        <v>0</v>
      </c>
      <c r="J81" s="40">
        <v>6920</v>
      </c>
      <c r="K81" s="40">
        <v>12980</v>
      </c>
      <c r="L81" s="40">
        <v>14700</v>
      </c>
      <c r="M81" s="40">
        <v>69290</v>
      </c>
      <c r="N81" s="40">
        <v>69290</v>
      </c>
      <c r="O81" s="43">
        <v>86620</v>
      </c>
      <c r="P81" s="43">
        <v>1</v>
      </c>
      <c r="Q81" s="43">
        <v>20</v>
      </c>
    </row>
    <row r="82" spans="1:17" hidden="1" x14ac:dyDescent="0.2">
      <c r="A82" s="1" t="s">
        <v>260</v>
      </c>
      <c r="B82" s="1" t="s">
        <v>261</v>
      </c>
      <c r="C82" s="1" t="str">
        <f>gminy_26[[#This Row],[kod gminy]]</f>
        <v>2602072</v>
      </c>
      <c r="D82" s="1" t="s">
        <v>71</v>
      </c>
      <c r="E82" s="1" t="str">
        <f>VLOOKUP(gminy_26[[#This Row],[kod powiatu]],powiaty_26[],katalogi!$B$1,FALSE)</f>
        <v>jędrzejowski</v>
      </c>
      <c r="F82" s="1" t="s">
        <v>68</v>
      </c>
      <c r="G82" s="1" t="str">
        <f>VLOOKUP(gminy_26[[#This Row],[kod strefy]],strefy_26[],2,FALSE)</f>
        <v>strefa świętokrzyska</v>
      </c>
      <c r="H82" s="40">
        <v>46240</v>
      </c>
      <c r="I82" s="40">
        <v>0</v>
      </c>
      <c r="J82" s="40">
        <v>1930</v>
      </c>
      <c r="K82" s="40">
        <v>3620</v>
      </c>
      <c r="L82" s="40">
        <v>4100</v>
      </c>
      <c r="M82" s="40">
        <v>11460</v>
      </c>
      <c r="N82" s="40">
        <v>11460</v>
      </c>
      <c r="O82" s="43">
        <v>13670</v>
      </c>
      <c r="P82" s="43">
        <v>1</v>
      </c>
      <c r="Q82" s="43">
        <v>5</v>
      </c>
    </row>
    <row r="83" spans="1:17" hidden="1" x14ac:dyDescent="0.2">
      <c r="A83" s="1" t="s">
        <v>262</v>
      </c>
      <c r="B83" s="1" t="s">
        <v>263</v>
      </c>
      <c r="C83" s="1" t="str">
        <f>gminy_26[[#This Row],[kod gminy]]</f>
        <v>2605062</v>
      </c>
      <c r="D83" s="1" t="s">
        <v>74</v>
      </c>
      <c r="E83" s="1" t="str">
        <f>VLOOKUP(gminy_26[[#This Row],[kod powiatu]],powiaty_26[],katalogi!$B$1,FALSE)</f>
        <v>konecki</v>
      </c>
      <c r="F83" s="1" t="s">
        <v>68</v>
      </c>
      <c r="G83" s="1" t="str">
        <f>VLOOKUP(gminy_26[[#This Row],[kod strefy]],strefy_26[],2,FALSE)</f>
        <v>strefa świętokrzyska</v>
      </c>
      <c r="H83" s="40">
        <v>33300</v>
      </c>
      <c r="I83" s="40">
        <v>0</v>
      </c>
      <c r="J83" s="40">
        <v>1000</v>
      </c>
      <c r="K83" s="40">
        <v>1860</v>
      </c>
      <c r="L83" s="40">
        <v>2110</v>
      </c>
      <c r="M83" s="40">
        <v>8750</v>
      </c>
      <c r="N83" s="40">
        <v>8750</v>
      </c>
      <c r="O83" s="43">
        <v>10830</v>
      </c>
      <c r="P83" s="43">
        <v>1</v>
      </c>
      <c r="Q83" s="43">
        <v>5</v>
      </c>
    </row>
    <row r="84" spans="1:17" hidden="1" x14ac:dyDescent="0.2">
      <c r="A84" s="1" t="s">
        <v>264</v>
      </c>
      <c r="B84" s="1" t="s">
        <v>265</v>
      </c>
      <c r="C84" s="1" t="str">
        <f>gminy_26[[#This Row],[kod gminy]]</f>
        <v>2605072</v>
      </c>
      <c r="D84" s="1" t="s">
        <v>74</v>
      </c>
      <c r="E84" s="1" t="str">
        <f>VLOOKUP(gminy_26[[#This Row],[kod powiatu]],powiaty_26[],katalogi!$B$1,FALSE)</f>
        <v>konecki</v>
      </c>
      <c r="F84" s="1" t="s">
        <v>68</v>
      </c>
      <c r="G84" s="1" t="str">
        <f>VLOOKUP(gminy_26[[#This Row],[kod strefy]],strefy_26[],2,FALSE)</f>
        <v>strefa świętokrzyska</v>
      </c>
      <c r="H84" s="40">
        <v>38060</v>
      </c>
      <c r="I84" s="40">
        <v>0</v>
      </c>
      <c r="J84" s="40">
        <v>1150</v>
      </c>
      <c r="K84" s="40">
        <v>2160</v>
      </c>
      <c r="L84" s="40">
        <v>2440</v>
      </c>
      <c r="M84" s="40">
        <v>9980</v>
      </c>
      <c r="N84" s="40">
        <v>9980</v>
      </c>
      <c r="O84" s="43">
        <v>12350</v>
      </c>
      <c r="P84" s="43">
        <v>1</v>
      </c>
      <c r="Q84" s="43">
        <v>5</v>
      </c>
    </row>
    <row r="85" spans="1:17" hidden="1" x14ac:dyDescent="0.2">
      <c r="A85" s="1" t="s">
        <v>266</v>
      </c>
      <c r="B85" s="1" t="s">
        <v>267</v>
      </c>
      <c r="C85" s="1" t="str">
        <f>gminy_26[[#This Row],[kod gminy]]</f>
        <v>2602082</v>
      </c>
      <c r="D85" s="1" t="s">
        <v>71</v>
      </c>
      <c r="E85" s="1" t="str">
        <f>VLOOKUP(gminy_26[[#This Row],[kod powiatu]],powiaty_26[],katalogi!$B$1,FALSE)</f>
        <v>jędrzejowski</v>
      </c>
      <c r="F85" s="1" t="s">
        <v>68</v>
      </c>
      <c r="G85" s="1" t="str">
        <f>VLOOKUP(gminy_26[[#This Row],[kod strefy]],strefy_26[],2,FALSE)</f>
        <v>strefa świętokrzyska</v>
      </c>
      <c r="H85" s="40">
        <v>91020</v>
      </c>
      <c r="I85" s="40">
        <v>0</v>
      </c>
      <c r="J85" s="40">
        <v>3810</v>
      </c>
      <c r="K85" s="40">
        <v>7130</v>
      </c>
      <c r="L85" s="40">
        <v>8080</v>
      </c>
      <c r="M85" s="40">
        <v>22550</v>
      </c>
      <c r="N85" s="40">
        <v>22550</v>
      </c>
      <c r="O85" s="43">
        <v>26900</v>
      </c>
      <c r="P85" s="43">
        <v>1</v>
      </c>
      <c r="Q85" s="43">
        <v>5</v>
      </c>
    </row>
    <row r="86" spans="1:17" hidden="1" x14ac:dyDescent="0.2">
      <c r="A86" s="1" t="s">
        <v>268</v>
      </c>
      <c r="B86" s="1" t="s">
        <v>269</v>
      </c>
      <c r="C86" s="1" t="str">
        <f>gminy_26[[#This Row],[kod gminy]]</f>
        <v>2601052</v>
      </c>
      <c r="D86" s="1" t="s">
        <v>70</v>
      </c>
      <c r="E86" s="1" t="str">
        <f>VLOOKUP(gminy_26[[#This Row],[kod powiatu]],powiaty_26[],katalogi!$B$1,FALSE)</f>
        <v>buski</v>
      </c>
      <c r="F86" s="1" t="s">
        <v>68</v>
      </c>
      <c r="G86" s="1" t="str">
        <f>VLOOKUP(gminy_26[[#This Row],[kod strefy]],strefy_26[],2,FALSE)</f>
        <v>strefa świętokrzyska</v>
      </c>
      <c r="H86" s="40">
        <v>42560</v>
      </c>
      <c r="I86" s="40">
        <v>0</v>
      </c>
      <c r="J86" s="40">
        <v>1770</v>
      </c>
      <c r="K86" s="40">
        <v>3320</v>
      </c>
      <c r="L86" s="40">
        <v>3770</v>
      </c>
      <c r="M86" s="40">
        <v>10550</v>
      </c>
      <c r="N86" s="40">
        <v>10550</v>
      </c>
      <c r="O86" s="43">
        <v>12600</v>
      </c>
      <c r="P86" s="43">
        <v>1</v>
      </c>
      <c r="Q86" s="43">
        <v>5</v>
      </c>
    </row>
    <row r="87" spans="1:17" hidden="1" x14ac:dyDescent="0.2">
      <c r="A87" s="1" t="s">
        <v>270</v>
      </c>
      <c r="B87" s="1" t="s">
        <v>271</v>
      </c>
      <c r="C87" s="1" t="str">
        <f>gminy_26[[#This Row],[kod gminy]]</f>
        <v>2611011</v>
      </c>
      <c r="D87" s="1" t="s">
        <v>80</v>
      </c>
      <c r="E87" s="1" t="str">
        <f>VLOOKUP(gminy_26[[#This Row],[kod powiatu]],powiaty_26[],katalogi!$B$1,FALSE)</f>
        <v>starachowicki</v>
      </c>
      <c r="F87" s="1" t="s">
        <v>68</v>
      </c>
      <c r="G87" s="1" t="str">
        <f>VLOOKUP(gminy_26[[#This Row],[kod strefy]],strefy_26[],2,FALSE)</f>
        <v>strefa świętokrzyska</v>
      </c>
      <c r="H87" s="40">
        <v>279880</v>
      </c>
      <c r="I87" s="40">
        <v>0</v>
      </c>
      <c r="J87" s="40">
        <v>7990</v>
      </c>
      <c r="K87" s="40">
        <v>14980</v>
      </c>
      <c r="L87" s="40">
        <v>16970</v>
      </c>
      <c r="M87" s="40">
        <v>73980</v>
      </c>
      <c r="N87" s="40">
        <v>73980</v>
      </c>
      <c r="O87" s="43">
        <v>91980</v>
      </c>
      <c r="P87" s="43">
        <v>1</v>
      </c>
      <c r="Q87" s="43">
        <v>20</v>
      </c>
    </row>
    <row r="88" spans="1:17" hidden="1" x14ac:dyDescent="0.2">
      <c r="A88" s="1" t="s">
        <v>272</v>
      </c>
      <c r="B88" s="1" t="s">
        <v>273</v>
      </c>
      <c r="C88" s="1" t="str">
        <f>gminy_26[[#This Row],[kod gminy]]</f>
        <v>2612073</v>
      </c>
      <c r="D88" s="1" t="s">
        <v>81</v>
      </c>
      <c r="E88" s="1" t="str">
        <f>VLOOKUP(gminy_26[[#This Row],[kod powiatu]],powiaty_26[],katalogi!$B$1,FALSE)</f>
        <v>staszowski</v>
      </c>
      <c r="F88" s="1" t="s">
        <v>68</v>
      </c>
      <c r="G88" s="1" t="str">
        <f>VLOOKUP(gminy_26[[#This Row],[kod strefy]],strefy_26[],2,FALSE)</f>
        <v>strefa świętokrzyska</v>
      </c>
      <c r="H88" s="40">
        <v>189050</v>
      </c>
      <c r="I88" s="40">
        <v>0</v>
      </c>
      <c r="J88" s="40">
        <v>11230</v>
      </c>
      <c r="K88" s="40">
        <v>21050</v>
      </c>
      <c r="L88" s="40">
        <v>23860</v>
      </c>
      <c r="M88" s="40">
        <v>42680</v>
      </c>
      <c r="N88" s="40">
        <v>42680</v>
      </c>
      <c r="O88" s="43">
        <v>47550</v>
      </c>
      <c r="P88" s="43">
        <v>1</v>
      </c>
      <c r="Q88" s="43">
        <v>20</v>
      </c>
    </row>
    <row r="89" spans="1:17" hidden="1" x14ac:dyDescent="0.2">
      <c r="A89" s="1" t="s">
        <v>274</v>
      </c>
      <c r="B89" s="1" t="s">
        <v>275</v>
      </c>
      <c r="C89" s="1" t="str">
        <f>gminy_26[[#This Row],[kod gminy]]</f>
        <v>2605083</v>
      </c>
      <c r="D89" s="1" t="s">
        <v>74</v>
      </c>
      <c r="E89" s="1" t="str">
        <f>VLOOKUP(gminy_26[[#This Row],[kod powiatu]],powiaty_26[],katalogi!$B$1,FALSE)</f>
        <v>konecki</v>
      </c>
      <c r="F89" s="1" t="s">
        <v>68</v>
      </c>
      <c r="G89" s="1" t="str">
        <f>VLOOKUP(gminy_26[[#This Row],[kod strefy]],strefy_26[],2,FALSE)</f>
        <v>strefa świętokrzyska</v>
      </c>
      <c r="H89" s="40">
        <v>152010</v>
      </c>
      <c r="I89" s="40">
        <v>0</v>
      </c>
      <c r="J89" s="40">
        <v>4580</v>
      </c>
      <c r="K89" s="40">
        <v>8580</v>
      </c>
      <c r="L89" s="40">
        <v>9730</v>
      </c>
      <c r="M89" s="40">
        <v>39880</v>
      </c>
      <c r="N89" s="40">
        <v>39880</v>
      </c>
      <c r="O89" s="43">
        <v>49360</v>
      </c>
      <c r="P89" s="43">
        <v>1</v>
      </c>
      <c r="Q89" s="43">
        <v>20</v>
      </c>
    </row>
    <row r="90" spans="1:17" hidden="1" x14ac:dyDescent="0.2">
      <c r="A90" s="1" t="s">
        <v>276</v>
      </c>
      <c r="B90" s="1" t="s">
        <v>277</v>
      </c>
      <c r="C90" s="1" t="str">
        <f>gminy_26[[#This Row],[kod gminy]]</f>
        <v>2601063</v>
      </c>
      <c r="D90" s="1" t="s">
        <v>70</v>
      </c>
      <c r="E90" s="1" t="str">
        <f>VLOOKUP(gminy_26[[#This Row],[kod powiatu]],powiaty_26[],katalogi!$B$1,FALSE)</f>
        <v>buski</v>
      </c>
      <c r="F90" s="1" t="s">
        <v>68</v>
      </c>
      <c r="G90" s="1" t="str">
        <f>VLOOKUP(gminy_26[[#This Row],[kod strefy]],strefy_26[],2,FALSE)</f>
        <v>strefa świętokrzyska</v>
      </c>
      <c r="H90" s="40">
        <v>74030</v>
      </c>
      <c r="I90" s="40">
        <v>0</v>
      </c>
      <c r="J90" s="40">
        <v>3120</v>
      </c>
      <c r="K90" s="40">
        <v>5850</v>
      </c>
      <c r="L90" s="40">
        <v>6630</v>
      </c>
      <c r="M90" s="40">
        <v>18310</v>
      </c>
      <c r="N90" s="40">
        <v>18310</v>
      </c>
      <c r="O90" s="43">
        <v>21810</v>
      </c>
      <c r="P90" s="43">
        <v>1</v>
      </c>
      <c r="Q90" s="43">
        <v>20</v>
      </c>
    </row>
    <row r="91" spans="1:17" hidden="1" x14ac:dyDescent="0.2">
      <c r="A91" s="1" t="s">
        <v>278</v>
      </c>
      <c r="B91" s="1" t="s">
        <v>279</v>
      </c>
      <c r="C91" s="1" t="str">
        <f>gminy_26[[#This Row],[kod gminy]]</f>
        <v>2604182</v>
      </c>
      <c r="D91" s="1" t="s">
        <v>73</v>
      </c>
      <c r="E91" s="1" t="str">
        <f>VLOOKUP(gminy_26[[#This Row],[kod powiatu]],powiaty_26[],katalogi!$B$1,FALSE)</f>
        <v>kielecki</v>
      </c>
      <c r="F91" s="1" t="s">
        <v>68</v>
      </c>
      <c r="G91" s="1" t="str">
        <f>VLOOKUP(gminy_26[[#This Row],[kod strefy]],strefy_26[],2,FALSE)</f>
        <v>strefa świętokrzyska</v>
      </c>
      <c r="H91" s="40">
        <v>127580</v>
      </c>
      <c r="I91" s="40">
        <v>0</v>
      </c>
      <c r="J91" s="40">
        <v>5070</v>
      </c>
      <c r="K91" s="40">
        <v>9500</v>
      </c>
      <c r="L91" s="40">
        <v>10760</v>
      </c>
      <c r="M91" s="40">
        <v>31940</v>
      </c>
      <c r="N91" s="40">
        <v>31940</v>
      </c>
      <c r="O91" s="43">
        <v>38370</v>
      </c>
      <c r="P91" s="43">
        <v>1</v>
      </c>
      <c r="Q91" s="43">
        <v>5</v>
      </c>
    </row>
    <row r="92" spans="1:17" hidden="1" x14ac:dyDescent="0.2">
      <c r="A92" s="1" t="s">
        <v>280</v>
      </c>
      <c r="B92" s="1" t="s">
        <v>281</v>
      </c>
      <c r="C92" s="1" t="str">
        <f>gminy_26[[#This Row],[kod gminy]]</f>
        <v>2610053</v>
      </c>
      <c r="D92" s="1" t="s">
        <v>79</v>
      </c>
      <c r="E92" s="1" t="str">
        <f>VLOOKUP(gminy_26[[#This Row],[kod powiatu]],powiaty_26[],katalogi!$B$1,FALSE)</f>
        <v>skarżyski</v>
      </c>
      <c r="F92" s="1" t="s">
        <v>68</v>
      </c>
      <c r="G92" s="1" t="str">
        <f>VLOOKUP(gminy_26[[#This Row],[kod strefy]],strefy_26[],2,FALSE)</f>
        <v>strefa świętokrzyska</v>
      </c>
      <c r="H92" s="40">
        <v>86450</v>
      </c>
      <c r="I92" s="40">
        <v>0</v>
      </c>
      <c r="J92" s="40">
        <v>2260</v>
      </c>
      <c r="K92" s="40">
        <v>4240</v>
      </c>
      <c r="L92" s="40">
        <v>4800</v>
      </c>
      <c r="M92" s="40">
        <v>23110</v>
      </c>
      <c r="N92" s="40">
        <v>23110</v>
      </c>
      <c r="O92" s="43">
        <v>28930</v>
      </c>
      <c r="P92" s="43">
        <v>1</v>
      </c>
      <c r="Q92" s="43">
        <v>20</v>
      </c>
    </row>
    <row r="93" spans="1:17" hidden="1" x14ac:dyDescent="0.2">
      <c r="A93" s="1" t="s">
        <v>282</v>
      </c>
      <c r="B93" s="1" t="s">
        <v>283</v>
      </c>
      <c r="C93" s="1" t="str">
        <f>gminy_26[[#This Row],[kod gminy]]</f>
        <v>2612082</v>
      </c>
      <c r="D93" s="1" t="s">
        <v>81</v>
      </c>
      <c r="E93" s="1" t="str">
        <f>VLOOKUP(gminy_26[[#This Row],[kod powiatu]],powiaty_26[],katalogi!$B$1,FALSE)</f>
        <v>staszowski</v>
      </c>
      <c r="F93" s="1" t="s">
        <v>68</v>
      </c>
      <c r="G93" s="1" t="str">
        <f>VLOOKUP(gminy_26[[#This Row],[kod strefy]],strefy_26[],2,FALSE)</f>
        <v>strefa świętokrzyska</v>
      </c>
      <c r="H93" s="40">
        <v>46840</v>
      </c>
      <c r="I93" s="40">
        <v>0</v>
      </c>
      <c r="J93" s="40">
        <v>2760</v>
      </c>
      <c r="K93" s="40">
        <v>5160</v>
      </c>
      <c r="L93" s="40">
        <v>5850</v>
      </c>
      <c r="M93" s="40">
        <v>10610</v>
      </c>
      <c r="N93" s="40">
        <v>10610</v>
      </c>
      <c r="O93" s="43">
        <v>11850</v>
      </c>
      <c r="P93" s="43">
        <v>1</v>
      </c>
      <c r="Q93" s="43">
        <v>5</v>
      </c>
    </row>
    <row r="94" spans="1:17" hidden="1" x14ac:dyDescent="0.2">
      <c r="A94" s="1" t="s">
        <v>284</v>
      </c>
      <c r="B94" s="1" t="s">
        <v>285</v>
      </c>
      <c r="C94" s="1" t="str">
        <f>gminy_26[[#This Row],[kod gminy]]</f>
        <v>2606072</v>
      </c>
      <c r="D94" s="1" t="s">
        <v>75</v>
      </c>
      <c r="E94" s="1" t="str">
        <f>VLOOKUP(gminy_26[[#This Row],[kod powiatu]],powiaty_26[],katalogi!$B$1,FALSE)</f>
        <v>opatowski</v>
      </c>
      <c r="F94" s="1" t="s">
        <v>68</v>
      </c>
      <c r="G94" s="1" t="str">
        <f>VLOOKUP(gminy_26[[#This Row],[kod strefy]],strefy_26[],2,FALSE)</f>
        <v>strefa świętokrzyska</v>
      </c>
      <c r="H94" s="40">
        <v>35980</v>
      </c>
      <c r="I94" s="40">
        <v>0</v>
      </c>
      <c r="J94" s="40">
        <v>260</v>
      </c>
      <c r="K94" s="40">
        <v>480</v>
      </c>
      <c r="L94" s="40">
        <v>550</v>
      </c>
      <c r="M94" s="40">
        <v>10470</v>
      </c>
      <c r="N94" s="40">
        <v>10470</v>
      </c>
      <c r="O94" s="43">
        <v>13750</v>
      </c>
      <c r="P94" s="43">
        <v>1</v>
      </c>
      <c r="Q94" s="43">
        <v>5</v>
      </c>
    </row>
    <row r="95" spans="1:17" hidden="1" x14ac:dyDescent="0.2">
      <c r="A95" s="1" t="s">
        <v>286</v>
      </c>
      <c r="B95" s="1" t="s">
        <v>287</v>
      </c>
      <c r="C95" s="1" t="str">
        <f>gminy_26[[#This Row],[kod gminy]]</f>
        <v>2601072</v>
      </c>
      <c r="D95" s="1" t="s">
        <v>70</v>
      </c>
      <c r="E95" s="1" t="str">
        <f>VLOOKUP(gminy_26[[#This Row],[kod powiatu]],powiaty_26[],katalogi!$B$1,FALSE)</f>
        <v>buski</v>
      </c>
      <c r="F95" s="1" t="s">
        <v>68</v>
      </c>
      <c r="G95" s="1" t="str">
        <f>VLOOKUP(gminy_26[[#This Row],[kod strefy]],strefy_26[],2,FALSE)</f>
        <v>strefa świętokrzyska</v>
      </c>
      <c r="H95" s="40">
        <v>34900</v>
      </c>
      <c r="I95" s="40">
        <v>0</v>
      </c>
      <c r="J95" s="40">
        <v>1460</v>
      </c>
      <c r="K95" s="40">
        <v>2730</v>
      </c>
      <c r="L95" s="40">
        <v>3100</v>
      </c>
      <c r="M95" s="40">
        <v>8650</v>
      </c>
      <c r="N95" s="40">
        <v>8650</v>
      </c>
      <c r="O95" s="43">
        <v>10310</v>
      </c>
      <c r="P95" s="43">
        <v>1</v>
      </c>
      <c r="Q95" s="43">
        <v>5</v>
      </c>
    </row>
    <row r="96" spans="1:17" hidden="1" x14ac:dyDescent="0.2">
      <c r="A96" s="1" t="s">
        <v>288</v>
      </c>
      <c r="B96" s="1" t="s">
        <v>289</v>
      </c>
      <c r="C96" s="1" t="str">
        <f>gminy_26[[#This Row],[kod gminy]]</f>
        <v>2607062</v>
      </c>
      <c r="D96" s="1" t="s">
        <v>76</v>
      </c>
      <c r="E96" s="1" t="str">
        <f>VLOOKUP(gminy_26[[#This Row],[kod powiatu]],powiaty_26[],katalogi!$B$1,FALSE)</f>
        <v>ostrowiecki</v>
      </c>
      <c r="F96" s="1" t="s">
        <v>68</v>
      </c>
      <c r="G96" s="1" t="str">
        <f>VLOOKUP(gminy_26[[#This Row],[kod strefy]],strefy_26[],2,FALSE)</f>
        <v>strefa świętokrzyska</v>
      </c>
      <c r="H96" s="40">
        <v>76760</v>
      </c>
      <c r="I96" s="40">
        <v>0</v>
      </c>
      <c r="J96" s="40">
        <v>3320</v>
      </c>
      <c r="K96" s="40">
        <v>6220</v>
      </c>
      <c r="L96" s="40">
        <v>7050</v>
      </c>
      <c r="M96" s="40">
        <v>18880</v>
      </c>
      <c r="N96" s="40">
        <v>18880</v>
      </c>
      <c r="O96" s="43">
        <v>22410</v>
      </c>
      <c r="P96" s="43">
        <v>1</v>
      </c>
      <c r="Q96" s="43">
        <v>5</v>
      </c>
    </row>
    <row r="97" spans="1:17" hidden="1" x14ac:dyDescent="0.2">
      <c r="A97" s="1" t="s">
        <v>290</v>
      </c>
      <c r="B97" s="1" t="s">
        <v>291</v>
      </c>
      <c r="C97" s="1" t="str">
        <f>gminy_26[[#This Row],[kod gminy]]</f>
        <v>2611053</v>
      </c>
      <c r="D97" s="1" t="s">
        <v>80</v>
      </c>
      <c r="E97" s="1" t="str">
        <f>VLOOKUP(gminy_26[[#This Row],[kod powiatu]],powiaty_26[],katalogi!$B$1,FALSE)</f>
        <v>starachowicki</v>
      </c>
      <c r="F97" s="1" t="s">
        <v>68</v>
      </c>
      <c r="G97" s="1" t="str">
        <f>VLOOKUP(gminy_26[[#This Row],[kod strefy]],strefy_26[],2,FALSE)</f>
        <v>strefa świętokrzyska</v>
      </c>
      <c r="H97" s="40">
        <v>58330</v>
      </c>
      <c r="I97" s="40">
        <v>0</v>
      </c>
      <c r="J97" s="40">
        <v>1620</v>
      </c>
      <c r="K97" s="40">
        <v>3030</v>
      </c>
      <c r="L97" s="40">
        <v>3430</v>
      </c>
      <c r="M97" s="40">
        <v>15480</v>
      </c>
      <c r="N97" s="40">
        <v>15480</v>
      </c>
      <c r="O97" s="43">
        <v>19290</v>
      </c>
      <c r="P97" s="43">
        <v>1</v>
      </c>
      <c r="Q97" s="43">
        <v>20</v>
      </c>
    </row>
    <row r="98" spans="1:17" hidden="1" x14ac:dyDescent="0.2">
      <c r="A98" s="1" t="s">
        <v>292</v>
      </c>
      <c r="B98" s="1" t="s">
        <v>293</v>
      </c>
      <c r="C98" s="1" t="str">
        <f>gminy_26[[#This Row],[kod gminy]]</f>
        <v>2609082</v>
      </c>
      <c r="D98" s="1" t="s">
        <v>78</v>
      </c>
      <c r="E98" s="1" t="str">
        <f>VLOOKUP(gminy_26[[#This Row],[kod powiatu]],powiaty_26[],katalogi!$B$1,FALSE)</f>
        <v>sandomierski</v>
      </c>
      <c r="F98" s="1" t="s">
        <v>68</v>
      </c>
      <c r="G98" s="1" t="str">
        <f>VLOOKUP(gminy_26[[#This Row],[kod strefy]],strefy_26[],2,FALSE)</f>
        <v>strefa świętokrzyska</v>
      </c>
      <c r="H98" s="40">
        <v>21340</v>
      </c>
      <c r="I98" s="40">
        <v>0</v>
      </c>
      <c r="J98" s="40">
        <v>730</v>
      </c>
      <c r="K98" s="40">
        <v>1370</v>
      </c>
      <c r="L98" s="40">
        <v>1550</v>
      </c>
      <c r="M98" s="40">
        <v>5490</v>
      </c>
      <c r="N98" s="40">
        <v>5490</v>
      </c>
      <c r="O98" s="43">
        <v>6710</v>
      </c>
      <c r="P98" s="43">
        <v>1</v>
      </c>
      <c r="Q98" s="43">
        <v>5</v>
      </c>
    </row>
    <row r="99" spans="1:17" hidden="1" x14ac:dyDescent="0.2">
      <c r="A99" s="1" t="s">
        <v>294</v>
      </c>
      <c r="B99" s="1" t="s">
        <v>295</v>
      </c>
      <c r="C99" s="1" t="str">
        <f>gminy_26[[#This Row],[kod gminy]]</f>
        <v>2601083</v>
      </c>
      <c r="D99" s="1" t="s">
        <v>70</v>
      </c>
      <c r="E99" s="1" t="str">
        <f>VLOOKUP(gminy_26[[#This Row],[kod powiatu]],powiaty_26[],katalogi!$B$1,FALSE)</f>
        <v>buski</v>
      </c>
      <c r="F99" s="1" t="s">
        <v>68</v>
      </c>
      <c r="G99" s="1" t="str">
        <f>VLOOKUP(gminy_26[[#This Row],[kod strefy]],strefy_26[],2,FALSE)</f>
        <v>strefa świętokrzyska</v>
      </c>
      <c r="H99" s="40">
        <v>53480</v>
      </c>
      <c r="I99" s="40">
        <v>0</v>
      </c>
      <c r="J99" s="40">
        <v>2200</v>
      </c>
      <c r="K99" s="40">
        <v>4110</v>
      </c>
      <c r="L99" s="40">
        <v>4660</v>
      </c>
      <c r="M99" s="40">
        <v>13300</v>
      </c>
      <c r="N99" s="40">
        <v>13300</v>
      </c>
      <c r="O99" s="43">
        <v>15910</v>
      </c>
      <c r="P99" s="43">
        <v>1</v>
      </c>
      <c r="Q99" s="43">
        <v>20</v>
      </c>
    </row>
    <row r="100" spans="1:17" x14ac:dyDescent="0.2">
      <c r="A100" s="1" t="s">
        <v>296</v>
      </c>
      <c r="B100" s="1" t="s">
        <v>297</v>
      </c>
      <c r="C100" s="1" t="str">
        <f>gminy_26[[#This Row],[kod gminy]]</f>
        <v>2613063</v>
      </c>
      <c r="D100" s="1" t="s">
        <v>82</v>
      </c>
      <c r="E100" s="1" t="str">
        <f>VLOOKUP(gminy_26[[#This Row],[kod powiatu]],powiaty_26[],katalogi!$B$1,FALSE)</f>
        <v>włoszczowski</v>
      </c>
      <c r="F100" s="1" t="s">
        <v>68</v>
      </c>
      <c r="G100" s="1" t="str">
        <f>VLOOKUP(gminy_26[[#This Row],[kod strefy]],strefy_26[],2,FALSE)</f>
        <v>strefa świętokrzyska</v>
      </c>
      <c r="H100" s="40">
        <v>138320</v>
      </c>
      <c r="I100" s="40">
        <v>0</v>
      </c>
      <c r="J100" s="40">
        <v>2220</v>
      </c>
      <c r="K100" s="40">
        <v>4150</v>
      </c>
      <c r="L100" s="40">
        <v>4700</v>
      </c>
      <c r="M100" s="40">
        <v>38730</v>
      </c>
      <c r="N100" s="40">
        <v>38730</v>
      </c>
      <c r="O100" s="43">
        <v>49790</v>
      </c>
      <c r="P100" s="43">
        <v>1</v>
      </c>
      <c r="Q100" s="43">
        <v>20</v>
      </c>
    </row>
    <row r="101" spans="1:17" hidden="1" x14ac:dyDescent="0.2">
      <c r="A101" s="1" t="s">
        <v>298</v>
      </c>
      <c r="B101" s="1" t="s">
        <v>299</v>
      </c>
      <c r="C101" s="1" t="str">
        <f>gminy_26[[#This Row],[kod gminy]]</f>
        <v>2602092</v>
      </c>
      <c r="D101" s="1" t="s">
        <v>71</v>
      </c>
      <c r="E101" s="1" t="str">
        <f>VLOOKUP(gminy_26[[#This Row],[kod powiatu]],powiaty_26[],katalogi!$B$1,FALSE)</f>
        <v>jędrzejowski</v>
      </c>
      <c r="F101" s="1" t="s">
        <v>68</v>
      </c>
      <c r="G101" s="1" t="str">
        <f>VLOOKUP(gminy_26[[#This Row],[kod strefy]],strefy_26[],2,FALSE)</f>
        <v>strefa świętokrzyska</v>
      </c>
      <c r="H101" s="40">
        <v>75050</v>
      </c>
      <c r="I101" s="40">
        <v>0</v>
      </c>
      <c r="J101" s="40">
        <v>3130</v>
      </c>
      <c r="K101" s="40">
        <v>5870</v>
      </c>
      <c r="L101" s="40">
        <v>6650</v>
      </c>
      <c r="M101" s="40">
        <v>18600</v>
      </c>
      <c r="N101" s="40">
        <v>18600</v>
      </c>
      <c r="O101" s="43">
        <v>22200</v>
      </c>
      <c r="P101" s="43">
        <v>1</v>
      </c>
      <c r="Q101" s="43">
        <v>5</v>
      </c>
    </row>
    <row r="102" spans="1:17" hidden="1" x14ac:dyDescent="0.2">
      <c r="A102" s="1" t="s">
        <v>300</v>
      </c>
      <c r="B102" s="1" t="s">
        <v>301</v>
      </c>
      <c r="C102" s="1" t="str">
        <f>gminy_26[[#This Row],[kod gminy]]</f>
        <v>2606082</v>
      </c>
      <c r="D102" s="1" t="s">
        <v>75</v>
      </c>
      <c r="E102" s="1" t="str">
        <f>VLOOKUP(gminy_26[[#This Row],[kod powiatu]],powiaty_26[],katalogi!$B$1,FALSE)</f>
        <v>opatowski</v>
      </c>
      <c r="F102" s="1" t="s">
        <v>68</v>
      </c>
      <c r="G102" s="1" t="str">
        <f>VLOOKUP(gminy_26[[#This Row],[kod strefy]],strefy_26[],2,FALSE)</f>
        <v>strefa świętokrzyska</v>
      </c>
      <c r="H102" s="40">
        <v>25670</v>
      </c>
      <c r="I102" s="40">
        <v>0</v>
      </c>
      <c r="J102" s="40">
        <v>210</v>
      </c>
      <c r="K102" s="40">
        <v>390</v>
      </c>
      <c r="L102" s="40">
        <v>440</v>
      </c>
      <c r="M102" s="40">
        <v>7440</v>
      </c>
      <c r="N102" s="40">
        <v>7440</v>
      </c>
      <c r="O102" s="43">
        <v>9750</v>
      </c>
      <c r="P102" s="43">
        <v>1</v>
      </c>
      <c r="Q102" s="43">
        <v>5</v>
      </c>
    </row>
    <row r="103" spans="1:17" hidden="1" x14ac:dyDescent="0.2">
      <c r="A103" s="1" t="s">
        <v>302</v>
      </c>
      <c r="B103" s="1" t="s">
        <v>303</v>
      </c>
      <c r="C103" s="1" t="str">
        <f>gminy_26[[#This Row],[kod gminy]]</f>
        <v>2604192</v>
      </c>
      <c r="D103" s="1" t="s">
        <v>73</v>
      </c>
      <c r="E103" s="1" t="str">
        <f>VLOOKUP(gminy_26[[#This Row],[kod powiatu]],powiaty_26[],katalogi!$B$1,FALSE)</f>
        <v>kielecki</v>
      </c>
      <c r="F103" s="1" t="s">
        <v>68</v>
      </c>
      <c r="G103" s="1" t="str">
        <f>VLOOKUP(gminy_26[[#This Row],[kod strefy]],strefy_26[],2,FALSE)</f>
        <v>strefa świętokrzyska</v>
      </c>
      <c r="H103" s="40">
        <v>106330</v>
      </c>
      <c r="I103" s="40">
        <v>0</v>
      </c>
      <c r="J103" s="40">
        <v>4220</v>
      </c>
      <c r="K103" s="40">
        <v>7920</v>
      </c>
      <c r="L103" s="40">
        <v>8970</v>
      </c>
      <c r="M103" s="40">
        <v>26620</v>
      </c>
      <c r="N103" s="40">
        <v>26620</v>
      </c>
      <c r="O103" s="43">
        <v>31980</v>
      </c>
      <c r="P103" s="43">
        <v>1</v>
      </c>
      <c r="Q103" s="43">
        <v>5</v>
      </c>
    </row>
    <row r="104" spans="1:17" hidden="1" x14ac:dyDescent="0.2">
      <c r="A104" s="1" t="s">
        <v>304</v>
      </c>
      <c r="B104" s="1" t="s">
        <v>305</v>
      </c>
      <c r="C104" s="1" t="str">
        <f>gminy_26[[#This Row],[kod gminy]]</f>
        <v>2609093</v>
      </c>
      <c r="D104" s="1" t="s">
        <v>78</v>
      </c>
      <c r="E104" s="1" t="str">
        <f>VLOOKUP(gminy_26[[#This Row],[kod powiatu]],powiaty_26[],katalogi!$B$1,FALSE)</f>
        <v>sandomierski</v>
      </c>
      <c r="F104" s="1" t="s">
        <v>68</v>
      </c>
      <c r="G104" s="1" t="str">
        <f>VLOOKUP(gminy_26[[#This Row],[kod strefy]],strefy_26[],2,FALSE)</f>
        <v>strefa świętokrzyska</v>
      </c>
      <c r="H104" s="40">
        <v>24790</v>
      </c>
      <c r="I104" s="40">
        <v>0</v>
      </c>
      <c r="J104" s="40">
        <v>850</v>
      </c>
      <c r="K104" s="40">
        <v>1580</v>
      </c>
      <c r="L104" s="40">
        <v>1790</v>
      </c>
      <c r="M104" s="40">
        <v>6380</v>
      </c>
      <c r="N104" s="40">
        <v>6380</v>
      </c>
      <c r="O104" s="43">
        <v>7810</v>
      </c>
      <c r="P104" s="43">
        <v>1</v>
      </c>
      <c r="Q104" s="43">
        <v>20</v>
      </c>
    </row>
    <row r="105" spans="1:17" hidden="1" x14ac:dyDescent="0.2">
      <c r="A105" s="1" t="s">
        <v>306</v>
      </c>
      <c r="B105" s="1" t="s">
        <v>307</v>
      </c>
      <c r="C105" s="1" t="str">
        <f>gminy_26[[#This Row],[kod gminy]]</f>
        <v>2608052</v>
      </c>
      <c r="D105" s="1" t="s">
        <v>77</v>
      </c>
      <c r="E105" s="1" t="str">
        <f>VLOOKUP(gminy_26[[#This Row],[kod powiatu]],powiaty_26[],katalogi!$B$1,FALSE)</f>
        <v>pińczowski</v>
      </c>
      <c r="F105" s="1" t="s">
        <v>68</v>
      </c>
      <c r="G105" s="1" t="str">
        <f>VLOOKUP(gminy_26[[#This Row],[kod strefy]],strefy_26[],2,FALSE)</f>
        <v>strefa świętokrzyska</v>
      </c>
      <c r="H105" s="40">
        <v>46890</v>
      </c>
      <c r="I105" s="40">
        <v>0</v>
      </c>
      <c r="J105" s="40">
        <v>500</v>
      </c>
      <c r="K105" s="40">
        <v>940</v>
      </c>
      <c r="L105" s="40">
        <v>1060</v>
      </c>
      <c r="M105" s="40">
        <v>13440</v>
      </c>
      <c r="N105" s="40">
        <v>13440</v>
      </c>
      <c r="O105" s="43">
        <v>17510</v>
      </c>
      <c r="P105" s="43">
        <v>1</v>
      </c>
      <c r="Q105" s="43">
        <v>5</v>
      </c>
    </row>
    <row r="112" spans="1:17" x14ac:dyDescent="0.2">
      <c r="A112" s="1" t="s">
        <v>531</v>
      </c>
      <c r="B112" s="1" t="s">
        <v>309</v>
      </c>
      <c r="C112" s="1" t="s">
        <v>84</v>
      </c>
      <c r="D112" s="1" t="s">
        <v>85</v>
      </c>
      <c r="E112" s="1" t="s">
        <v>86</v>
      </c>
      <c r="F112" s="1" t="s">
        <v>87</v>
      </c>
      <c r="G112" s="1" t="s">
        <v>88</v>
      </c>
      <c r="H112" s="1" t="s">
        <v>89</v>
      </c>
      <c r="I112" s="1" t="s">
        <v>90</v>
      </c>
      <c r="J112" s="1" t="s">
        <v>91</v>
      </c>
      <c r="K112" s="1" t="s">
        <v>92</v>
      </c>
      <c r="L112" s="1" t="s">
        <v>93</v>
      </c>
      <c r="M112" s="1" t="s">
        <v>94</v>
      </c>
      <c r="N112" s="1" t="s">
        <v>95</v>
      </c>
      <c r="O112" s="1" t="s">
        <v>96</v>
      </c>
    </row>
    <row r="113" spans="1:15" x14ac:dyDescent="0.2">
      <c r="A113" s="1" t="s">
        <v>309</v>
      </c>
      <c r="B113" s="1" t="s">
        <v>309</v>
      </c>
      <c r="C113" s="1" t="s">
        <v>126</v>
      </c>
      <c r="D113" s="1" t="s">
        <v>150</v>
      </c>
      <c r="E113" s="1" t="s">
        <v>112</v>
      </c>
      <c r="F113" s="1" t="s">
        <v>114</v>
      </c>
      <c r="G113" s="1" t="s">
        <v>142</v>
      </c>
      <c r="H113" s="1" t="s">
        <v>108</v>
      </c>
      <c r="I113" s="1" t="s">
        <v>110</v>
      </c>
      <c r="J113" s="1" t="s">
        <v>140</v>
      </c>
      <c r="K113" s="1" t="s">
        <v>138</v>
      </c>
      <c r="L113" s="1" t="s">
        <v>116</v>
      </c>
      <c r="M113" s="1" t="s">
        <v>124</v>
      </c>
      <c r="N113" s="1" t="s">
        <v>122</v>
      </c>
      <c r="O113" s="1" t="s">
        <v>162</v>
      </c>
    </row>
    <row r="114" spans="1:15" x14ac:dyDescent="0.2">
      <c r="A114" s="1" t="s">
        <v>84</v>
      </c>
      <c r="C114" s="1" t="s">
        <v>144</v>
      </c>
      <c r="D114" s="1" t="s">
        <v>154</v>
      </c>
      <c r="E114" s="1" t="s">
        <v>132</v>
      </c>
      <c r="F114" s="1" t="s">
        <v>120</v>
      </c>
      <c r="G114" s="1" t="s">
        <v>146</v>
      </c>
      <c r="H114" s="1" t="s">
        <v>152</v>
      </c>
      <c r="I114" s="1" t="s">
        <v>118</v>
      </c>
      <c r="J114" s="1" t="s">
        <v>158</v>
      </c>
      <c r="K114" s="1" t="s">
        <v>160</v>
      </c>
      <c r="L114" s="1" t="s">
        <v>176</v>
      </c>
      <c r="M114" s="1" t="s">
        <v>192</v>
      </c>
      <c r="N114" s="1" t="s">
        <v>182</v>
      </c>
      <c r="O114" s="1" t="s">
        <v>168</v>
      </c>
    </row>
    <row r="115" spans="1:15" x14ac:dyDescent="0.2">
      <c r="A115" s="1" t="s">
        <v>85</v>
      </c>
      <c r="C115" s="1" t="s">
        <v>204</v>
      </c>
      <c r="D115" s="1" t="s">
        <v>184</v>
      </c>
      <c r="E115" s="1" t="s">
        <v>156</v>
      </c>
      <c r="F115" s="1" t="s">
        <v>128</v>
      </c>
      <c r="G115" s="1" t="s">
        <v>164</v>
      </c>
      <c r="H115" s="1" t="s">
        <v>172</v>
      </c>
      <c r="I115" s="1" t="s">
        <v>134</v>
      </c>
      <c r="J115" s="1" t="s">
        <v>188</v>
      </c>
      <c r="K115" s="1" t="s">
        <v>166</v>
      </c>
      <c r="L115" s="1" t="s">
        <v>257</v>
      </c>
      <c r="M115" s="1" t="s">
        <v>223</v>
      </c>
      <c r="N115" s="1" t="s">
        <v>210</v>
      </c>
      <c r="O115" s="1" t="s">
        <v>198</v>
      </c>
    </row>
    <row r="116" spans="1:15" x14ac:dyDescent="0.2">
      <c r="A116" s="1" t="s">
        <v>86</v>
      </c>
      <c r="C116" s="1" t="s">
        <v>221</v>
      </c>
      <c r="D116" s="1" t="s">
        <v>200</v>
      </c>
      <c r="E116" s="1" t="s">
        <v>212</v>
      </c>
      <c r="F116" s="1" t="s">
        <v>130</v>
      </c>
      <c r="G116" s="1" t="s">
        <v>235</v>
      </c>
      <c r="H116" s="1" t="s">
        <v>16</v>
      </c>
      <c r="I116" s="1" t="s">
        <v>170</v>
      </c>
      <c r="J116" s="1" t="s">
        <v>229</v>
      </c>
      <c r="K116" s="1" t="s">
        <v>178</v>
      </c>
      <c r="L116" s="1" t="s">
        <v>259</v>
      </c>
      <c r="M116" s="1" t="s">
        <v>271</v>
      </c>
      <c r="N116" s="1" t="s">
        <v>215</v>
      </c>
      <c r="O116" s="1" t="s">
        <v>233</v>
      </c>
    </row>
    <row r="117" spans="1:15" x14ac:dyDescent="0.2">
      <c r="A117" s="1" t="s">
        <v>87</v>
      </c>
      <c r="C117" s="1" t="s">
        <v>269</v>
      </c>
      <c r="D117" s="1" t="s">
        <v>208</v>
      </c>
      <c r="E117" s="1" t="s">
        <v>255</v>
      </c>
      <c r="F117" s="1" t="s">
        <v>136</v>
      </c>
      <c r="G117" s="1" t="s">
        <v>239</v>
      </c>
      <c r="H117" s="1" t="s">
        <v>219</v>
      </c>
      <c r="I117" s="1" t="s">
        <v>217</v>
      </c>
      <c r="J117" s="1" t="s">
        <v>307</v>
      </c>
      <c r="K117" s="1" t="s">
        <v>206</v>
      </c>
      <c r="L117" s="1" t="s">
        <v>281</v>
      </c>
      <c r="M117" s="1" t="s">
        <v>291</v>
      </c>
      <c r="N117" s="1" t="s">
        <v>231</v>
      </c>
      <c r="O117" s="1" t="s">
        <v>249</v>
      </c>
    </row>
    <row r="118" spans="1:15" x14ac:dyDescent="0.2">
      <c r="A118" s="1" t="s">
        <v>88</v>
      </c>
      <c r="C118" s="1" t="s">
        <v>277</v>
      </c>
      <c r="D118" s="1" t="s">
        <v>251</v>
      </c>
      <c r="F118" s="1" t="s">
        <v>148</v>
      </c>
      <c r="G118" s="1" t="s">
        <v>263</v>
      </c>
      <c r="H118" s="1" t="s">
        <v>243</v>
      </c>
      <c r="I118" s="1" t="s">
        <v>289</v>
      </c>
      <c r="K118" s="1" t="s">
        <v>245</v>
      </c>
      <c r="N118" s="1" t="s">
        <v>241</v>
      </c>
      <c r="O118" s="1" t="s">
        <v>297</v>
      </c>
    </row>
    <row r="119" spans="1:15" x14ac:dyDescent="0.2">
      <c r="A119" s="1" t="s">
        <v>89</v>
      </c>
      <c r="C119" s="1" t="s">
        <v>287</v>
      </c>
      <c r="D119" s="1" t="s">
        <v>261</v>
      </c>
      <c r="F119" s="1" t="s">
        <v>174</v>
      </c>
      <c r="G119" s="1" t="s">
        <v>265</v>
      </c>
      <c r="H119" s="1" t="s">
        <v>285</v>
      </c>
      <c r="K119" s="1" t="s">
        <v>247</v>
      </c>
      <c r="N119" s="1" t="s">
        <v>273</v>
      </c>
    </row>
    <row r="120" spans="1:15" x14ac:dyDescent="0.2">
      <c r="A120" s="1" t="s">
        <v>90</v>
      </c>
      <c r="C120" s="1" t="s">
        <v>295</v>
      </c>
      <c r="D120" s="1" t="s">
        <v>267</v>
      </c>
      <c r="F120" s="1" t="s">
        <v>180</v>
      </c>
      <c r="G120" s="1" t="s">
        <v>275</v>
      </c>
      <c r="H120" s="1" t="s">
        <v>301</v>
      </c>
      <c r="K120" s="1" t="s">
        <v>293</v>
      </c>
      <c r="N120" s="1" t="s">
        <v>283</v>
      </c>
    </row>
    <row r="121" spans="1:15" x14ac:dyDescent="0.2">
      <c r="A121" s="1" t="s">
        <v>91</v>
      </c>
      <c r="D121" s="1" t="s">
        <v>299</v>
      </c>
      <c r="F121" s="1" t="s">
        <v>186</v>
      </c>
      <c r="K121" s="1" t="s">
        <v>305</v>
      </c>
    </row>
    <row r="122" spans="1:15" x14ac:dyDescent="0.2">
      <c r="A122" s="1" t="s">
        <v>92</v>
      </c>
      <c r="F122" s="1" t="s">
        <v>190</v>
      </c>
    </row>
    <row r="123" spans="1:15" x14ac:dyDescent="0.2">
      <c r="A123" s="1" t="s">
        <v>93</v>
      </c>
      <c r="F123" s="1" t="s">
        <v>194</v>
      </c>
    </row>
    <row r="124" spans="1:15" x14ac:dyDescent="0.2">
      <c r="A124" s="1" t="s">
        <v>94</v>
      </c>
      <c r="F124" s="1" t="s">
        <v>196</v>
      </c>
    </row>
    <row r="125" spans="1:15" x14ac:dyDescent="0.2">
      <c r="A125" s="1" t="s">
        <v>95</v>
      </c>
      <c r="F125" s="1" t="s">
        <v>202</v>
      </c>
    </row>
    <row r="126" spans="1:15" x14ac:dyDescent="0.2">
      <c r="A126" s="1" t="s">
        <v>96</v>
      </c>
      <c r="F126" s="1" t="s">
        <v>225</v>
      </c>
    </row>
    <row r="127" spans="1:15" x14ac:dyDescent="0.2">
      <c r="F127" s="1" t="s">
        <v>227</v>
      </c>
    </row>
    <row r="128" spans="1:15" x14ac:dyDescent="0.2">
      <c r="F128" s="1" t="s">
        <v>237</v>
      </c>
    </row>
    <row r="129" spans="1:6" x14ac:dyDescent="0.2">
      <c r="F129" s="1" t="s">
        <v>253</v>
      </c>
    </row>
    <row r="130" spans="1:6" x14ac:dyDescent="0.2">
      <c r="F130" s="1" t="s">
        <v>279</v>
      </c>
    </row>
    <row r="131" spans="1:6" x14ac:dyDescent="0.2">
      <c r="F131" s="1" t="s">
        <v>303</v>
      </c>
    </row>
    <row r="136" spans="1:6" ht="12.75" x14ac:dyDescent="0.2">
      <c r="A136" t="s">
        <v>120</v>
      </c>
    </row>
    <row r="137" spans="1:6" ht="12.75" x14ac:dyDescent="0.2">
      <c r="A137" t="s">
        <v>126</v>
      </c>
    </row>
    <row r="138" spans="1:6" ht="12.75" x14ac:dyDescent="0.2">
      <c r="A138" t="s">
        <v>128</v>
      </c>
    </row>
    <row r="139" spans="1:6" ht="12.75" x14ac:dyDescent="0.2">
      <c r="A139" t="s">
        <v>130</v>
      </c>
    </row>
    <row r="140" spans="1:6" ht="12.75" x14ac:dyDescent="0.2">
      <c r="A140" t="s">
        <v>134</v>
      </c>
    </row>
    <row r="141" spans="1:6" ht="12.75" x14ac:dyDescent="0.2">
      <c r="A141" t="s">
        <v>136</v>
      </c>
    </row>
    <row r="142" spans="1:6" ht="12.75" x14ac:dyDescent="0.2">
      <c r="A142" t="s">
        <v>140</v>
      </c>
    </row>
    <row r="143" spans="1:6" ht="12.75" x14ac:dyDescent="0.2">
      <c r="A143" t="s">
        <v>154</v>
      </c>
    </row>
    <row r="144" spans="1:6" ht="12.75" x14ac:dyDescent="0.2">
      <c r="A144" t="s">
        <v>156</v>
      </c>
    </row>
    <row r="145" spans="1:1" ht="12.75" x14ac:dyDescent="0.2">
      <c r="A145" t="s">
        <v>309</v>
      </c>
    </row>
    <row r="146" spans="1:1" ht="12.75" x14ac:dyDescent="0.2">
      <c r="A146" t="s">
        <v>160</v>
      </c>
    </row>
    <row r="147" spans="1:1" ht="12.75" x14ac:dyDescent="0.2">
      <c r="A147" t="s">
        <v>164</v>
      </c>
    </row>
    <row r="148" spans="1:1" ht="12.75" x14ac:dyDescent="0.2">
      <c r="A148" t="s">
        <v>166</v>
      </c>
    </row>
    <row r="149" spans="1:1" ht="12.75" x14ac:dyDescent="0.2">
      <c r="A149" t="s">
        <v>170</v>
      </c>
    </row>
    <row r="150" spans="1:1" ht="12.75" x14ac:dyDescent="0.2">
      <c r="A150" t="s">
        <v>174</v>
      </c>
    </row>
    <row r="151" spans="1:1" ht="12.75" x14ac:dyDescent="0.2">
      <c r="A151" t="s">
        <v>184</v>
      </c>
    </row>
    <row r="152" spans="1:1" ht="12.75" x14ac:dyDescent="0.2">
      <c r="A152" t="s">
        <v>196</v>
      </c>
    </row>
    <row r="153" spans="1:1" ht="12.75" x14ac:dyDescent="0.2">
      <c r="A153" t="s">
        <v>202</v>
      </c>
    </row>
    <row r="154" spans="1:1" ht="12.75" x14ac:dyDescent="0.2">
      <c r="A154" t="s">
        <v>204</v>
      </c>
    </row>
    <row r="155" spans="1:1" ht="12.75" x14ac:dyDescent="0.2">
      <c r="A155" t="s">
        <v>210</v>
      </c>
    </row>
    <row r="156" spans="1:1" ht="12.75" x14ac:dyDescent="0.2">
      <c r="A156" t="s">
        <v>212</v>
      </c>
    </row>
    <row r="157" spans="1:1" ht="12.75" x14ac:dyDescent="0.2">
      <c r="A157" t="s">
        <v>16</v>
      </c>
    </row>
    <row r="158" spans="1:1" ht="12.75" x14ac:dyDescent="0.2">
      <c r="A158" t="s">
        <v>215</v>
      </c>
    </row>
    <row r="159" spans="1:1" ht="12.75" x14ac:dyDescent="0.2">
      <c r="A159" t="s">
        <v>217</v>
      </c>
    </row>
    <row r="160" spans="1:1" ht="12.75" x14ac:dyDescent="0.2">
      <c r="A160" t="s">
        <v>219</v>
      </c>
    </row>
    <row r="161" spans="1:1" ht="12.75" x14ac:dyDescent="0.2">
      <c r="A161" t="s">
        <v>221</v>
      </c>
    </row>
    <row r="162" spans="1:1" ht="12.75" x14ac:dyDescent="0.2">
      <c r="A162" t="s">
        <v>227</v>
      </c>
    </row>
    <row r="163" spans="1:1" ht="12.75" x14ac:dyDescent="0.2">
      <c r="A163" t="s">
        <v>229</v>
      </c>
    </row>
    <row r="164" spans="1:1" ht="12.75" x14ac:dyDescent="0.2">
      <c r="A164" t="s">
        <v>231</v>
      </c>
    </row>
    <row r="165" spans="1:1" ht="12.75" x14ac:dyDescent="0.2">
      <c r="A165" t="s">
        <v>235</v>
      </c>
    </row>
    <row r="166" spans="1:1" ht="12.75" x14ac:dyDescent="0.2">
      <c r="A166" t="s">
        <v>247</v>
      </c>
    </row>
    <row r="167" spans="1:1" ht="12.75" x14ac:dyDescent="0.2">
      <c r="A167" t="s">
        <v>251</v>
      </c>
    </row>
    <row r="168" spans="1:1" ht="12.75" x14ac:dyDescent="0.2">
      <c r="A168" t="s">
        <v>255</v>
      </c>
    </row>
    <row r="169" spans="1:1" ht="12.75" x14ac:dyDescent="0.2">
      <c r="A169" t="s">
        <v>259</v>
      </c>
    </row>
    <row r="170" spans="1:1" ht="12.75" x14ac:dyDescent="0.2">
      <c r="A170" t="s">
        <v>271</v>
      </c>
    </row>
    <row r="171" spans="1:1" ht="12.75" x14ac:dyDescent="0.2">
      <c r="A171" t="s">
        <v>273</v>
      </c>
    </row>
    <row r="172" spans="1:1" ht="12.75" x14ac:dyDescent="0.2">
      <c r="A172" t="s">
        <v>275</v>
      </c>
    </row>
    <row r="173" spans="1:1" ht="12.75" x14ac:dyDescent="0.2">
      <c r="A173" t="s">
        <v>277</v>
      </c>
    </row>
    <row r="174" spans="1:1" ht="12.75" x14ac:dyDescent="0.2">
      <c r="A174" t="s">
        <v>281</v>
      </c>
    </row>
    <row r="175" spans="1:1" ht="12.75" x14ac:dyDescent="0.2">
      <c r="A175" t="s">
        <v>283</v>
      </c>
    </row>
    <row r="176" spans="1:1" ht="12.75" x14ac:dyDescent="0.2">
      <c r="A176" t="s">
        <v>291</v>
      </c>
    </row>
    <row r="177" spans="1:1" ht="12.75" x14ac:dyDescent="0.2">
      <c r="A177" t="s">
        <v>295</v>
      </c>
    </row>
    <row r="178" spans="1:1" ht="12.75" x14ac:dyDescent="0.2">
      <c r="A178" t="s">
        <v>297</v>
      </c>
    </row>
    <row r="179" spans="1:1" ht="12.75" x14ac:dyDescent="0.2">
      <c r="A179" t="s">
        <v>299</v>
      </c>
    </row>
    <row r="180" spans="1:1" ht="12.75" x14ac:dyDescent="0.2">
      <c r="A180" t="s">
        <v>305</v>
      </c>
    </row>
  </sheetData>
  <mergeCells count="1">
    <mergeCell ref="H2:O2"/>
  </mergeCells>
  <phoneticPr fontId="25" type="noConversion"/>
  <conditionalFormatting sqref="H4:N4 P4:Q4">
    <cfRule type="cellIs" dxfId="50" priority="4" operator="equal">
      <formula>0</formula>
    </cfRule>
  </conditionalFormatting>
  <conditionalFormatting sqref="H5:N105 Q5:Q105">
    <cfRule type="cellIs" dxfId="49" priority="5" operator="equal">
      <formula>0</formula>
    </cfRule>
  </conditionalFormatting>
  <conditionalFormatting sqref="O4">
    <cfRule type="cellIs" dxfId="48" priority="2" operator="equal">
      <formula>0</formula>
    </cfRule>
  </conditionalFormatting>
  <conditionalFormatting sqref="O5:O105">
    <cfRule type="cellIs" dxfId="47" priority="3" operator="equal">
      <formula>0</formula>
    </cfRule>
  </conditionalFormatting>
  <conditionalFormatting sqref="P5:P105">
    <cfRule type="cellIs" dxfId="46" priority="1" operator="equal">
      <formula>0</formula>
    </cfRule>
  </conditionalFormatting>
  <dataValidations count="1">
    <dataValidation type="list" allowBlank="1" showInputMessage="1" showErrorMessage="1" sqref="E1:E1048576">
      <formula1>Powiaty</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006600"/>
  </sheetPr>
  <dimension ref="A1:E34"/>
  <sheetViews>
    <sheetView workbookViewId="0">
      <selection activeCell="G9" sqref="G9"/>
    </sheetView>
  </sheetViews>
  <sheetFormatPr defaultColWidth="9.140625" defaultRowHeight="12" x14ac:dyDescent="0.2"/>
  <cols>
    <col min="1" max="1" width="29.85546875" style="1" customWidth="1"/>
    <col min="2" max="2" width="50.28515625" style="1" customWidth="1"/>
    <col min="3" max="5" width="19.28515625" style="1" customWidth="1"/>
    <col min="6" max="16384" width="9.140625" style="1"/>
  </cols>
  <sheetData>
    <row r="1" spans="1:5" x14ac:dyDescent="0.2">
      <c r="A1" s="7">
        <v>1</v>
      </c>
      <c r="B1" s="7">
        <f>A1+1</f>
        <v>2</v>
      </c>
      <c r="C1" s="7">
        <f t="shared" ref="C1:E1" si="0">B1+1</f>
        <v>3</v>
      </c>
      <c r="D1" s="7">
        <f t="shared" si="0"/>
        <v>4</v>
      </c>
      <c r="E1" s="7">
        <f t="shared" si="0"/>
        <v>5</v>
      </c>
    </row>
    <row r="2" spans="1:5" ht="12" customHeight="1" x14ac:dyDescent="0.2">
      <c r="A2" s="158" t="s">
        <v>50</v>
      </c>
      <c r="B2" s="158" t="s">
        <v>38</v>
      </c>
      <c r="C2" s="157" t="s">
        <v>49</v>
      </c>
      <c r="D2" s="157"/>
      <c r="E2" s="157"/>
    </row>
    <row r="3" spans="1:5" ht="14.25" x14ac:dyDescent="0.2">
      <c r="A3" s="159"/>
      <c r="B3" s="159"/>
      <c r="C3" s="8" t="s">
        <v>362</v>
      </c>
      <c r="D3" s="8" t="s">
        <v>363</v>
      </c>
      <c r="E3" s="8" t="s">
        <v>426</v>
      </c>
    </row>
    <row r="4" spans="1:5" x14ac:dyDescent="0.2">
      <c r="A4" s="82" t="s">
        <v>424</v>
      </c>
      <c r="B4" s="83" t="s">
        <v>427</v>
      </c>
      <c r="C4" s="84" t="s">
        <v>36</v>
      </c>
      <c r="D4" s="84" t="s">
        <v>37</v>
      </c>
      <c r="E4" s="85" t="s">
        <v>425</v>
      </c>
    </row>
    <row r="5" spans="1:5" x14ac:dyDescent="0.2">
      <c r="A5" s="79" t="s">
        <v>41</v>
      </c>
      <c r="B5" s="20" t="s">
        <v>42</v>
      </c>
      <c r="C5" s="31">
        <v>502.42899999999997</v>
      </c>
      <c r="D5" s="31">
        <v>494.96699999999998</v>
      </c>
      <c r="E5" s="80">
        <v>0.28604000000000002</v>
      </c>
    </row>
    <row r="6" spans="1:5" x14ac:dyDescent="0.2">
      <c r="A6" s="79" t="s">
        <v>43</v>
      </c>
      <c r="B6" s="20" t="s">
        <v>44</v>
      </c>
      <c r="C6" s="31">
        <v>502.42899999999997</v>
      </c>
      <c r="D6" s="31">
        <v>494.96699999999998</v>
      </c>
      <c r="E6" s="80">
        <v>0.28604000000000002</v>
      </c>
    </row>
    <row r="7" spans="1:5" x14ac:dyDescent="0.2">
      <c r="A7" s="79" t="s">
        <v>352</v>
      </c>
      <c r="B7" s="30" t="s">
        <v>353</v>
      </c>
      <c r="C7" s="32">
        <v>486.13400000000001</v>
      </c>
      <c r="D7" s="32">
        <v>481.93099999999998</v>
      </c>
      <c r="E7" s="81">
        <v>0.27381</v>
      </c>
    </row>
    <row r="8" spans="1:5" x14ac:dyDescent="0.2">
      <c r="A8" s="79" t="s">
        <v>354</v>
      </c>
      <c r="B8" s="30" t="s">
        <v>355</v>
      </c>
      <c r="C8" s="32">
        <v>483.7</v>
      </c>
      <c r="D8" s="32">
        <v>477.22399999999999</v>
      </c>
      <c r="E8" s="81">
        <v>0.27703</v>
      </c>
    </row>
    <row r="9" spans="1:5" x14ac:dyDescent="0.2">
      <c r="A9" s="79" t="s">
        <v>45</v>
      </c>
      <c r="B9" s="20" t="s">
        <v>46</v>
      </c>
      <c r="C9" s="31">
        <v>502.084</v>
      </c>
      <c r="D9" s="31">
        <v>494.62200000000001</v>
      </c>
      <c r="E9" s="80">
        <v>0.28604000000000002</v>
      </c>
    </row>
    <row r="10" spans="1:5" x14ac:dyDescent="0.2">
      <c r="A10" s="79" t="s">
        <v>47</v>
      </c>
      <c r="B10" s="30" t="s">
        <v>55</v>
      </c>
      <c r="C10" s="31">
        <v>500.98500000000001</v>
      </c>
      <c r="D10" s="31">
        <v>493.52300000000002</v>
      </c>
      <c r="E10" s="80">
        <v>0.28598000000000001</v>
      </c>
    </row>
    <row r="11" spans="1:5" x14ac:dyDescent="0.2">
      <c r="A11" s="79" t="s">
        <v>51</v>
      </c>
      <c r="B11" s="30" t="s">
        <v>57</v>
      </c>
      <c r="C11" s="31">
        <v>502.42899999999997</v>
      </c>
      <c r="D11" s="31">
        <v>494.96699999999998</v>
      </c>
      <c r="E11" s="80">
        <v>0.28604000000000002</v>
      </c>
    </row>
    <row r="12" spans="1:5" x14ac:dyDescent="0.2">
      <c r="A12" s="79" t="s">
        <v>56</v>
      </c>
      <c r="B12" s="30" t="s">
        <v>48</v>
      </c>
      <c r="C12" s="31">
        <v>73.534000000000006</v>
      </c>
      <c r="D12" s="31">
        <v>72.441999999999993</v>
      </c>
      <c r="E12" s="80">
        <v>4.1860000000000001E-2</v>
      </c>
    </row>
    <row r="13" spans="1:5" x14ac:dyDescent="0.2">
      <c r="A13" s="79" t="s">
        <v>356</v>
      </c>
      <c r="B13" s="30" t="s">
        <v>357</v>
      </c>
      <c r="C13" s="31">
        <v>491.02199999999999</v>
      </c>
      <c r="D13" s="31">
        <v>485.84199999999998</v>
      </c>
      <c r="E13" s="80">
        <v>0.27748</v>
      </c>
    </row>
    <row r="14" spans="1:5" x14ac:dyDescent="0.2">
      <c r="A14" s="79" t="s">
        <v>358</v>
      </c>
      <c r="B14" s="30" t="s">
        <v>359</v>
      </c>
      <c r="C14" s="31">
        <v>489.31799999999998</v>
      </c>
      <c r="D14" s="31">
        <v>482.54700000000003</v>
      </c>
      <c r="E14" s="80">
        <v>0.27972999999999998</v>
      </c>
    </row>
    <row r="15" spans="1:5" x14ac:dyDescent="0.2">
      <c r="A15" s="79" t="s">
        <v>58</v>
      </c>
      <c r="B15" s="30" t="s">
        <v>360</v>
      </c>
      <c r="C15" s="31">
        <v>502.18700000000001</v>
      </c>
      <c r="D15" s="31">
        <v>494.72500000000002</v>
      </c>
      <c r="E15" s="80">
        <v>0.28604000000000002</v>
      </c>
    </row>
    <row r="16" spans="1:5" x14ac:dyDescent="0.2">
      <c r="A16" s="86" t="s">
        <v>59</v>
      </c>
      <c r="B16" s="87" t="s">
        <v>361</v>
      </c>
      <c r="C16" s="88">
        <v>501.41800000000001</v>
      </c>
      <c r="D16" s="88">
        <v>493.95600000000002</v>
      </c>
      <c r="E16" s="89">
        <v>0.28599000000000002</v>
      </c>
    </row>
    <row r="18" spans="1:5" x14ac:dyDescent="0.2">
      <c r="C18" s="27"/>
      <c r="D18" s="27"/>
      <c r="E18" s="29"/>
    </row>
    <row r="19" spans="1:5" ht="36" x14ac:dyDescent="0.2">
      <c r="B19" s="76" t="s">
        <v>402</v>
      </c>
      <c r="C19" s="27"/>
      <c r="D19" s="27"/>
      <c r="E19" s="29"/>
    </row>
    <row r="20" spans="1:5" x14ac:dyDescent="0.2">
      <c r="A20" s="75" t="s">
        <v>385</v>
      </c>
      <c r="B20" s="75" t="s">
        <v>401</v>
      </c>
      <c r="C20" s="75" t="s">
        <v>386</v>
      </c>
      <c r="D20" s="27"/>
      <c r="E20" s="29"/>
    </row>
    <row r="21" spans="1:5" x14ac:dyDescent="0.2">
      <c r="A21" s="3" t="s">
        <v>387</v>
      </c>
      <c r="B21" s="3" t="s">
        <v>403</v>
      </c>
      <c r="C21" s="21" t="s">
        <v>41</v>
      </c>
      <c r="D21" s="27"/>
      <c r="E21" s="29"/>
    </row>
    <row r="22" spans="1:5" x14ac:dyDescent="0.2">
      <c r="A22" s="3" t="s">
        <v>388</v>
      </c>
      <c r="B22" s="3" t="s">
        <v>404</v>
      </c>
      <c r="C22" s="21" t="s">
        <v>45</v>
      </c>
      <c r="D22" s="27"/>
      <c r="E22" s="29"/>
    </row>
    <row r="23" spans="1:5" x14ac:dyDescent="0.2">
      <c r="A23" s="3" t="s">
        <v>389</v>
      </c>
      <c r="B23" s="3" t="s">
        <v>405</v>
      </c>
      <c r="C23" s="21" t="s">
        <v>51</v>
      </c>
      <c r="D23" s="27"/>
      <c r="E23" s="29"/>
    </row>
    <row r="24" spans="1:5" x14ac:dyDescent="0.2">
      <c r="A24" s="3" t="s">
        <v>390</v>
      </c>
      <c r="B24" s="3" t="s">
        <v>406</v>
      </c>
      <c r="C24" s="21" t="s">
        <v>352</v>
      </c>
      <c r="D24" s="27"/>
      <c r="E24" s="29"/>
    </row>
    <row r="25" spans="1:5" x14ac:dyDescent="0.2">
      <c r="A25" s="3" t="s">
        <v>391</v>
      </c>
      <c r="B25" s="3" t="s">
        <v>407</v>
      </c>
      <c r="C25" s="21" t="s">
        <v>354</v>
      </c>
      <c r="D25" s="27"/>
      <c r="E25" s="29"/>
    </row>
    <row r="26" spans="1:5" x14ac:dyDescent="0.2">
      <c r="A26" s="3" t="s">
        <v>392</v>
      </c>
      <c r="B26" s="3" t="s">
        <v>408</v>
      </c>
      <c r="C26" s="21" t="s">
        <v>43</v>
      </c>
      <c r="D26" s="27"/>
      <c r="E26" s="29"/>
    </row>
    <row r="27" spans="1:5" x14ac:dyDescent="0.2">
      <c r="A27" s="3" t="s">
        <v>393</v>
      </c>
      <c r="B27" s="3" t="s">
        <v>409</v>
      </c>
      <c r="C27" s="21" t="s">
        <v>47</v>
      </c>
      <c r="D27" s="27"/>
      <c r="E27" s="29"/>
    </row>
    <row r="28" spans="1:5" x14ac:dyDescent="0.2">
      <c r="A28" s="3" t="s">
        <v>394</v>
      </c>
      <c r="B28" s="3" t="s">
        <v>410</v>
      </c>
      <c r="C28" s="21" t="s">
        <v>41</v>
      </c>
      <c r="D28" s="27"/>
      <c r="E28" s="29"/>
    </row>
    <row r="29" spans="1:5" x14ac:dyDescent="0.2">
      <c r="A29" s="3" t="s">
        <v>395</v>
      </c>
      <c r="B29" s="3" t="s">
        <v>411</v>
      </c>
      <c r="C29" s="21" t="s">
        <v>58</v>
      </c>
      <c r="D29" s="27"/>
      <c r="E29" s="29"/>
    </row>
    <row r="30" spans="1:5" x14ac:dyDescent="0.2">
      <c r="A30" s="3" t="s">
        <v>396</v>
      </c>
      <c r="B30" s="3" t="s">
        <v>412</v>
      </c>
      <c r="C30" s="21" t="s">
        <v>51</v>
      </c>
    </row>
    <row r="31" spans="1:5" x14ac:dyDescent="0.2">
      <c r="A31" s="3" t="s">
        <v>397</v>
      </c>
      <c r="B31" s="3" t="s">
        <v>413</v>
      </c>
      <c r="C31" s="21" t="s">
        <v>356</v>
      </c>
    </row>
    <row r="32" spans="1:5" x14ac:dyDescent="0.2">
      <c r="A32" s="3" t="s">
        <v>398</v>
      </c>
      <c r="B32" s="3" t="s">
        <v>414</v>
      </c>
      <c r="C32" s="21" t="s">
        <v>358</v>
      </c>
    </row>
    <row r="33" spans="1:3" x14ac:dyDescent="0.2">
      <c r="A33" s="3" t="s">
        <v>399</v>
      </c>
      <c r="B33" s="3" t="s">
        <v>415</v>
      </c>
      <c r="C33" s="21" t="s">
        <v>43</v>
      </c>
    </row>
    <row r="34" spans="1:3" x14ac:dyDescent="0.2">
      <c r="A34" s="3" t="s">
        <v>400</v>
      </c>
      <c r="B34" s="3" t="s">
        <v>416</v>
      </c>
      <c r="C34" s="21" t="s">
        <v>59</v>
      </c>
    </row>
  </sheetData>
  <mergeCells count="3">
    <mergeCell ref="C2:E2"/>
    <mergeCell ref="A2:A3"/>
    <mergeCell ref="B2:B3"/>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B27"/>
  <sheetViews>
    <sheetView workbookViewId="0">
      <selection activeCell="A17" sqref="A17"/>
    </sheetView>
  </sheetViews>
  <sheetFormatPr defaultColWidth="8.85546875" defaultRowHeight="12.75" x14ac:dyDescent="0.2"/>
  <cols>
    <col min="1" max="1" width="32" style="123" customWidth="1"/>
    <col min="2" max="2" width="87.28515625" style="123" customWidth="1"/>
    <col min="3" max="16384" width="8.85546875" style="123"/>
  </cols>
  <sheetData>
    <row r="2" spans="1:2" ht="40.9" customHeight="1" x14ac:dyDescent="0.2">
      <c r="A2" s="160" t="s">
        <v>478</v>
      </c>
      <c r="B2" s="160"/>
    </row>
    <row r="3" spans="1:2" x14ac:dyDescent="0.2">
      <c r="A3" s="161" t="s">
        <v>537</v>
      </c>
      <c r="B3" s="161"/>
    </row>
    <row r="5" spans="1:2" ht="15.75" x14ac:dyDescent="0.2">
      <c r="A5" s="130" t="s">
        <v>479</v>
      </c>
    </row>
    <row r="6" spans="1:2" x14ac:dyDescent="0.2">
      <c r="A6" s="129" t="s">
        <v>482</v>
      </c>
      <c r="B6" s="123" t="s">
        <v>480</v>
      </c>
    </row>
    <row r="7" spans="1:2" x14ac:dyDescent="0.2">
      <c r="A7" s="127" t="s">
        <v>481</v>
      </c>
      <c r="B7" s="123" t="s">
        <v>485</v>
      </c>
    </row>
    <row r="8" spans="1:2" ht="15" x14ac:dyDescent="0.2">
      <c r="A8" s="127" t="s">
        <v>465</v>
      </c>
      <c r="B8" s="122" t="s">
        <v>492</v>
      </c>
    </row>
    <row r="9" spans="1:2" ht="15" x14ac:dyDescent="0.2">
      <c r="A9" s="127" t="s">
        <v>466</v>
      </c>
      <c r="B9" s="122" t="s">
        <v>518</v>
      </c>
    </row>
    <row r="10" spans="1:2" ht="15" x14ac:dyDescent="0.2">
      <c r="A10" s="127" t="s">
        <v>467</v>
      </c>
      <c r="B10" s="122" t="s">
        <v>463</v>
      </c>
    </row>
    <row r="11" spans="1:2" ht="15" x14ac:dyDescent="0.2">
      <c r="A11" s="127" t="s">
        <v>468</v>
      </c>
      <c r="B11" s="122" t="s">
        <v>464</v>
      </c>
    </row>
    <row r="12" spans="1:2" ht="15" x14ac:dyDescent="0.2">
      <c r="A12" s="127" t="s">
        <v>471</v>
      </c>
      <c r="B12" s="122" t="s">
        <v>472</v>
      </c>
    </row>
    <row r="13" spans="1:2" x14ac:dyDescent="0.2">
      <c r="A13" s="129" t="s">
        <v>513</v>
      </c>
    </row>
    <row r="14" spans="1:2" x14ac:dyDescent="0.2">
      <c r="A14" s="127" t="s">
        <v>484</v>
      </c>
      <c r="B14" s="123" t="s">
        <v>517</v>
      </c>
    </row>
    <row r="15" spans="1:2" ht="15" x14ac:dyDescent="0.2">
      <c r="A15" s="127" t="s">
        <v>497</v>
      </c>
      <c r="B15" s="122" t="s">
        <v>519</v>
      </c>
    </row>
    <row r="16" spans="1:2" x14ac:dyDescent="0.2">
      <c r="A16" s="129" t="s">
        <v>511</v>
      </c>
    </row>
    <row r="17" spans="1:2" x14ac:dyDescent="0.2">
      <c r="A17" s="127" t="s">
        <v>484</v>
      </c>
      <c r="B17" s="123" t="s">
        <v>515</v>
      </c>
    </row>
    <row r="18" spans="1:2" ht="15" x14ac:dyDescent="0.2">
      <c r="A18" s="127" t="s">
        <v>475</v>
      </c>
      <c r="B18" s="122" t="s">
        <v>477</v>
      </c>
    </row>
    <row r="19" spans="1:2" x14ac:dyDescent="0.2">
      <c r="A19" s="129" t="s">
        <v>512</v>
      </c>
    </row>
    <row r="20" spans="1:2" x14ac:dyDescent="0.2">
      <c r="A20" s="127" t="s">
        <v>484</v>
      </c>
      <c r="B20" s="123" t="s">
        <v>516</v>
      </c>
    </row>
    <row r="21" spans="1:2" ht="15" x14ac:dyDescent="0.2">
      <c r="A21" s="127" t="s">
        <v>476</v>
      </c>
      <c r="B21" s="122" t="s">
        <v>483</v>
      </c>
    </row>
    <row r="25" spans="1:2" ht="15.75" x14ac:dyDescent="0.2">
      <c r="A25" s="162" t="s">
        <v>538</v>
      </c>
      <c r="B25" s="162"/>
    </row>
    <row r="26" spans="1:2" ht="15.75" customHeight="1" x14ac:dyDescent="0.2">
      <c r="A26" s="163" t="s">
        <v>532</v>
      </c>
      <c r="B26" s="164"/>
    </row>
    <row r="27" spans="1:2" ht="15.75" x14ac:dyDescent="0.2">
      <c r="A27" s="147" t="s">
        <v>533</v>
      </c>
      <c r="B27" s="48"/>
    </row>
  </sheetData>
  <mergeCells count="4">
    <mergeCell ref="A2:B2"/>
    <mergeCell ref="A3:B3"/>
    <mergeCell ref="A25:B25"/>
    <mergeCell ref="A26:B26"/>
  </mergeCells>
  <hyperlinks>
    <hyperlink ref="A9" location="tab.1_ZSO_powiaty!A1" tooltip="Tabela ZSO dla powiatów" display="tab.1_ZSO_powiaty"/>
    <hyperlink ref="A10" location="tab.2_EE_gminy!A1" tooltip="Tabela EE dla gmin" display="tab.2_EE_gminy"/>
    <hyperlink ref="A11" location="tab.3_KPP!A1" tooltip="Tabela kontrole" display="tab.3_KPP"/>
    <hyperlink ref="A12" location="tab.5_PDK!A1" tooltip="PDK" display="tab.5_PDK"/>
    <hyperlink ref="A8" location="tab.1_ZSO_gminy!A1" tooltip="Tabela ZSO dla gmin" display="tab.1_ZSO_gminy"/>
    <hyperlink ref="A21" location="tab.4_BDO!A1" tooltip="Tabela drogi (BDO)" display="tab.4_BDO"/>
    <hyperlink ref="A7" location="tabela_informacyjna_dla_JST!A1" tooltip="Informacje ogólne JST" display="tabela_informacyjna_dla_JST"/>
    <hyperlink ref="A20" location="tabela_informacyjna_dla_innych!A1" tooltip="Informacje ogólne dla innych podmiotów" display="tabela_informacyjna_dla_innych"/>
    <hyperlink ref="A17" location="tabela_informacyjna_dla_innych!A1" tooltip="Informacje ogólne dla innych podmiotów" display="tabela_informacyjna_dla_innych"/>
    <hyperlink ref="A18" location="tab.2_EE_org!A1" tooltip="Tabela edukacja - organizacje" display="tab.2_EE_org"/>
    <hyperlink ref="A14" location="tabela_informacyjna_dla_innych!A1" tooltip="Informacje ogólne dla innych podmiotów" display="tabela_informacyjna_dla_innych"/>
    <hyperlink ref="A15" location="tab.1_ZSO_zarządcy!A1" display="tab.1_ZSO_zarządcy"/>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27"/>
  <sheetViews>
    <sheetView topLeftCell="A10" zoomScale="120" zoomScaleNormal="120" workbookViewId="0">
      <selection activeCell="C26" sqref="C26"/>
    </sheetView>
  </sheetViews>
  <sheetFormatPr defaultColWidth="9.140625" defaultRowHeight="12" x14ac:dyDescent="0.2"/>
  <cols>
    <col min="1" max="1" width="4" style="1" customWidth="1"/>
    <col min="2" max="2" width="39.7109375" style="1" customWidth="1"/>
    <col min="3" max="3" width="39" style="1" bestFit="1" customWidth="1"/>
    <col min="4" max="4" width="6.85546875" style="1" hidden="1" customWidth="1"/>
    <col min="5" max="5" width="39" style="1" bestFit="1" customWidth="1"/>
    <col min="6" max="6" width="6" style="1" hidden="1" customWidth="1"/>
    <col min="7" max="7" width="3.85546875" style="1" customWidth="1"/>
    <col min="8" max="8" width="18" style="1" bestFit="1" customWidth="1"/>
    <col min="9" max="9" width="66" style="1" bestFit="1" customWidth="1"/>
    <col min="10" max="16384" width="9.140625" style="1"/>
  </cols>
  <sheetData>
    <row r="1" spans="1:9" ht="16.5" customHeight="1" x14ac:dyDescent="0.2">
      <c r="A1" s="163"/>
      <c r="B1" s="163"/>
      <c r="C1" s="163"/>
      <c r="E1" s="48"/>
    </row>
    <row r="2" spans="1:9" ht="20.45" customHeight="1" x14ac:dyDescent="0.2">
      <c r="B2" s="52" t="s">
        <v>325</v>
      </c>
      <c r="C2" s="49" t="s">
        <v>320</v>
      </c>
      <c r="D2" s="49"/>
      <c r="E2" s="49" t="s">
        <v>502</v>
      </c>
    </row>
    <row r="3" spans="1:9" ht="12" customHeight="1" x14ac:dyDescent="0.2">
      <c r="A3" s="165" t="s">
        <v>12</v>
      </c>
      <c r="B3" s="165"/>
      <c r="C3" s="165"/>
      <c r="D3" s="165"/>
      <c r="E3" s="165"/>
    </row>
    <row r="4" spans="1:9" ht="15" x14ac:dyDescent="0.2">
      <c r="A4" s="47" t="s">
        <v>7</v>
      </c>
      <c r="B4" s="47" t="s">
        <v>10</v>
      </c>
      <c r="C4" s="47" t="s">
        <v>469</v>
      </c>
      <c r="D4" s="54" t="s">
        <v>326</v>
      </c>
      <c r="E4" s="47" t="s">
        <v>470</v>
      </c>
      <c r="F4" s="54" t="s">
        <v>326</v>
      </c>
      <c r="H4" s="127" t="s">
        <v>465</v>
      </c>
      <c r="I4" s="122" t="s">
        <v>492</v>
      </c>
    </row>
    <row r="5" spans="1:9" ht="15" x14ac:dyDescent="0.2">
      <c r="A5" s="10">
        <v>1</v>
      </c>
      <c r="B5" s="11" t="s">
        <v>322</v>
      </c>
      <c r="C5" s="24">
        <v>2022</v>
      </c>
      <c r="D5" s="55"/>
      <c r="E5" s="24"/>
      <c r="F5" s="55"/>
      <c r="H5" s="127" t="s">
        <v>466</v>
      </c>
      <c r="I5" s="122" t="s">
        <v>493</v>
      </c>
    </row>
    <row r="6" spans="1:9" ht="15" x14ac:dyDescent="0.2">
      <c r="A6" s="10">
        <v>2</v>
      </c>
      <c r="B6" s="11" t="s">
        <v>8</v>
      </c>
      <c r="C6" s="9" t="s">
        <v>64</v>
      </c>
      <c r="D6" s="53"/>
      <c r="E6" s="9" t="s">
        <v>64</v>
      </c>
      <c r="F6" s="53"/>
      <c r="H6" s="127" t="s">
        <v>467</v>
      </c>
      <c r="I6" s="122" t="s">
        <v>463</v>
      </c>
    </row>
    <row r="7" spans="1:9" ht="15" x14ac:dyDescent="0.2">
      <c r="A7" s="10">
        <v>3</v>
      </c>
      <c r="B7" s="11" t="s">
        <v>18</v>
      </c>
      <c r="C7" s="9" t="str">
        <f>IFERROR(CONCATENATE(VLOOKUP($D$9,[2]!gminy_26[#Data],[2]katalog_gmin_PL26!$G$1,FALSE)," (",VLOOKUP($D$9,[2]!gminy_26[#Data],[2]katalog_gmin_PL26!$F$1,FALSE),")"),"")</f>
        <v/>
      </c>
      <c r="D7" s="53" t="str">
        <f>VLOOKUP($D$9,gminy_26[],katalog_gmin_PL26!$F$1,FALSE)</f>
        <v>PL2602</v>
      </c>
      <c r="E7" s="9" t="str">
        <f>IFERROR(CONCATENATE(VLOOKUP($F$8,powiaty_26[],katalogi!$E$1,FALSE)," (",VLOOKUP($F$8,powiaty_26[],katalogi!$D$1,FALSE),")"),"")</f>
        <v/>
      </c>
      <c r="F7" s="53" t="str">
        <f>IFERROR(VLOOKUP($F$8,powiaty_26[],katalogi!$D$1,FALSE),"brak")</f>
        <v>brak</v>
      </c>
      <c r="H7" s="127" t="s">
        <v>468</v>
      </c>
      <c r="I7" s="122" t="s">
        <v>464</v>
      </c>
    </row>
    <row r="8" spans="1:9" ht="15" x14ac:dyDescent="0.2">
      <c r="A8" s="10">
        <v>4</v>
      </c>
      <c r="B8" s="11" t="s">
        <v>501</v>
      </c>
      <c r="C8" s="9" t="str">
        <f>IFERROR(VLOOKUP($D$9,gminy_26[],katalog_gmin_PL26!$E$1,FALSE),"")</f>
        <v>konecki</v>
      </c>
      <c r="D8" s="53"/>
      <c r="E8" s="57"/>
      <c r="F8" s="53" t="str">
        <f>IFERROR(VLOOKUP($E$8,powiaty_26[[powiat]:[kod powiatu2]],2,FALSE),"brak")</f>
        <v>brak</v>
      </c>
      <c r="H8" s="127" t="s">
        <v>471</v>
      </c>
      <c r="I8" s="122" t="s">
        <v>472</v>
      </c>
    </row>
    <row r="9" spans="1:9" x14ac:dyDescent="0.2">
      <c r="A9" s="10">
        <v>5</v>
      </c>
      <c r="B9" s="28" t="s">
        <v>534</v>
      </c>
      <c r="C9" s="23" t="s">
        <v>239</v>
      </c>
      <c r="D9" s="53" t="str">
        <f>VLOOKUP($C$9,gminy_26[[nazwa gminy]:[kod gminy2]],2,FALSE)</f>
        <v>2605052</v>
      </c>
      <c r="E9" s="115" t="s">
        <v>459</v>
      </c>
      <c r="F9" s="53"/>
    </row>
    <row r="10" spans="1:9" ht="24" x14ac:dyDescent="0.2">
      <c r="A10" s="10">
        <v>6</v>
      </c>
      <c r="B10" s="11" t="s">
        <v>13</v>
      </c>
      <c r="C10" s="9" t="s">
        <v>65</v>
      </c>
      <c r="D10" s="53"/>
      <c r="E10" s="9" t="s">
        <v>65</v>
      </c>
      <c r="F10" s="53"/>
    </row>
    <row r="11" spans="1:9" x14ac:dyDescent="0.2">
      <c r="A11" s="10">
        <v>7</v>
      </c>
      <c r="B11" s="11" t="s">
        <v>14</v>
      </c>
      <c r="C11" s="9" t="s">
        <v>540</v>
      </c>
      <c r="D11" s="53"/>
      <c r="E11" s="9" t="s">
        <v>540</v>
      </c>
      <c r="F11" s="53"/>
    </row>
    <row r="12" spans="1:9" x14ac:dyDescent="0.2">
      <c r="A12" s="10">
        <v>8</v>
      </c>
      <c r="B12" s="11" t="s">
        <v>500</v>
      </c>
      <c r="C12" s="22" t="s">
        <v>542</v>
      </c>
      <c r="D12" s="56"/>
      <c r="E12" s="22"/>
      <c r="F12" s="56"/>
    </row>
    <row r="13" spans="1:9" x14ac:dyDescent="0.2">
      <c r="A13" s="10">
        <v>9</v>
      </c>
      <c r="B13" s="11" t="s">
        <v>323</v>
      </c>
      <c r="C13" s="22" t="s">
        <v>543</v>
      </c>
      <c r="D13" s="56"/>
      <c r="E13" s="22"/>
      <c r="F13" s="56"/>
    </row>
    <row r="14" spans="1:9" x14ac:dyDescent="0.2">
      <c r="A14" s="10">
        <v>10</v>
      </c>
      <c r="B14" s="11" t="s">
        <v>15</v>
      </c>
      <c r="C14" s="22"/>
      <c r="D14" s="56"/>
      <c r="E14" s="22"/>
      <c r="F14" s="56"/>
    </row>
    <row r="15" spans="1:9" ht="12.75" x14ac:dyDescent="0.2">
      <c r="A15" s="10">
        <v>11</v>
      </c>
      <c r="B15" s="11" t="s">
        <v>324</v>
      </c>
      <c r="C15" s="151" t="s">
        <v>544</v>
      </c>
      <c r="D15" s="56"/>
      <c r="E15" s="22"/>
      <c r="F15" s="56"/>
    </row>
    <row r="16" spans="1:9" x14ac:dyDescent="0.2">
      <c r="A16" s="10">
        <v>12</v>
      </c>
      <c r="B16" s="11" t="s">
        <v>9</v>
      </c>
      <c r="C16" s="22"/>
      <c r="D16" s="56"/>
      <c r="E16" s="22"/>
      <c r="F16" s="56"/>
    </row>
    <row r="17" spans="1:6" x14ac:dyDescent="0.2">
      <c r="B17" s="148" t="s">
        <v>321</v>
      </c>
    </row>
    <row r="18" spans="1:6" ht="12" customHeight="1" x14ac:dyDescent="0.2">
      <c r="A18" s="165" t="s">
        <v>62</v>
      </c>
      <c r="B18" s="165"/>
      <c r="C18" s="165"/>
      <c r="D18" s="165"/>
      <c r="E18" s="165"/>
    </row>
    <row r="19" spans="1:6" x14ac:dyDescent="0.2">
      <c r="A19" s="47" t="s">
        <v>7</v>
      </c>
      <c r="B19" s="47" t="s">
        <v>10</v>
      </c>
      <c r="C19" s="47" t="s">
        <v>469</v>
      </c>
      <c r="D19" s="54" t="s">
        <v>326</v>
      </c>
      <c r="E19" s="47" t="s">
        <v>470</v>
      </c>
      <c r="F19" s="54" t="s">
        <v>326</v>
      </c>
    </row>
    <row r="20" spans="1:6" x14ac:dyDescent="0.2">
      <c r="A20" s="10">
        <v>1</v>
      </c>
      <c r="B20" s="11" t="s">
        <v>322</v>
      </c>
      <c r="C20" s="125">
        <f>C$5</f>
        <v>2022</v>
      </c>
      <c r="D20" s="55"/>
      <c r="E20" s="125">
        <f>E$5</f>
        <v>0</v>
      </c>
      <c r="F20" s="55"/>
    </row>
    <row r="21" spans="1:6" x14ac:dyDescent="0.2">
      <c r="A21" s="10">
        <v>2</v>
      </c>
      <c r="B21" s="11" t="s">
        <v>8</v>
      </c>
      <c r="C21" s="33" t="s">
        <v>64</v>
      </c>
      <c r="D21" s="55"/>
      <c r="E21" s="33" t="s">
        <v>64</v>
      </c>
      <c r="F21" s="55"/>
    </row>
    <row r="22" spans="1:6" x14ac:dyDescent="0.2">
      <c r="A22" s="10">
        <v>3</v>
      </c>
      <c r="B22" s="11" t="s">
        <v>18</v>
      </c>
      <c r="C22" s="9" t="str">
        <f>IFERROR(CONCATENATE(VLOOKUP($D$9,gminy_26[],katalog_gmin_PL26!$G$1,FALSE)," (",VLOOKUP($D$9,gminy_26[],katalog_gmin_PL26!$F$1,FALSE),")"),"")</f>
        <v>strefa świętokrzyska (PL2602)</v>
      </c>
      <c r="D22" s="53" t="str">
        <f>VLOOKUP($D$9,gminy_26[],katalog_gmin_PL26!$F$1,FALSE)</f>
        <v>PL2602</v>
      </c>
      <c r="E22" s="9" t="str">
        <f>IFERROR(CONCATENATE(VLOOKUP($F$8,powiaty_26[],katalogi!$E$1,FALSE)," (",VLOOKUP($F$8,powiaty_26[],katalogi!$D$1,FALSE),")"),"")</f>
        <v/>
      </c>
      <c r="F22" s="53" t="str">
        <f>IFERROR(VLOOKUP($F$8,powiaty_26[],katalogi!$D$1,FALSE),"brak")</f>
        <v>brak</v>
      </c>
    </row>
    <row r="23" spans="1:6" x14ac:dyDescent="0.2">
      <c r="A23" s="10">
        <v>4</v>
      </c>
      <c r="B23" s="11" t="s">
        <v>17</v>
      </c>
      <c r="C23" s="9" t="str">
        <f>IFERROR(VLOOKUP($D$9,gminy_26[],katalog_gmin_PL26!$E$1,FALSE),"")</f>
        <v>konecki</v>
      </c>
      <c r="D23" s="53"/>
      <c r="E23" s="126">
        <f>E$8</f>
        <v>0</v>
      </c>
      <c r="F23" s="53" t="str">
        <f>IFERROR(VLOOKUP($E$8,powiaty_26[[powiat]:[kod powiatu2]],2,FALSE),"brak")</f>
        <v>brak</v>
      </c>
    </row>
    <row r="24" spans="1:6" x14ac:dyDescent="0.2">
      <c r="A24" s="10">
        <v>5</v>
      </c>
      <c r="B24" s="28" t="s">
        <v>534</v>
      </c>
      <c r="C24" s="124" t="str">
        <f>C$9</f>
        <v>Ruda Maleniecka</v>
      </c>
      <c r="D24" s="53" t="str">
        <f>VLOOKUP($C$9,gminy_26[[nazwa gminy]:[kod gminy2]],2,FALSE)</f>
        <v>2605052</v>
      </c>
      <c r="E24" s="115" t="s">
        <v>459</v>
      </c>
      <c r="F24" s="53"/>
    </row>
    <row r="25" spans="1:6" ht="24" x14ac:dyDescent="0.2">
      <c r="A25" s="10">
        <v>6</v>
      </c>
      <c r="B25" s="28" t="s">
        <v>473</v>
      </c>
      <c r="C25" s="34">
        <v>0</v>
      </c>
      <c r="D25" s="55"/>
      <c r="E25" s="34"/>
      <c r="F25" s="55"/>
    </row>
    <row r="26" spans="1:6" ht="24" x14ac:dyDescent="0.2">
      <c r="A26" s="10">
        <v>7</v>
      </c>
      <c r="B26" s="28" t="s">
        <v>474</v>
      </c>
      <c r="C26" s="34">
        <v>0</v>
      </c>
      <c r="D26" s="55"/>
      <c r="E26" s="34"/>
      <c r="F26" s="55"/>
    </row>
    <row r="27" spans="1:6" x14ac:dyDescent="0.2">
      <c r="B27" s="148" t="s">
        <v>321</v>
      </c>
    </row>
  </sheetData>
  <mergeCells count="3">
    <mergeCell ref="A3:E3"/>
    <mergeCell ref="A18:E18"/>
    <mergeCell ref="A1:C1"/>
  </mergeCells>
  <conditionalFormatting sqref="C20">
    <cfRule type="cellIs" dxfId="15" priority="5" operator="equal">
      <formula>0</formula>
    </cfRule>
  </conditionalFormatting>
  <conditionalFormatting sqref="E20">
    <cfRule type="cellIs" dxfId="14" priority="4" operator="equal">
      <formula>0</formula>
    </cfRule>
  </conditionalFormatting>
  <conditionalFormatting sqref="C24">
    <cfRule type="cellIs" dxfId="13" priority="3" operator="equal">
      <formula>0</formula>
    </cfRule>
  </conditionalFormatting>
  <conditionalFormatting sqref="E23">
    <cfRule type="cellIs" dxfId="12" priority="2" operator="equal">
      <formula>0</formula>
    </cfRule>
  </conditionalFormatting>
  <conditionalFormatting sqref="E28">
    <cfRule type="containsErrors" dxfId="11" priority="1">
      <formula>ISERROR(E28)</formula>
    </cfRule>
  </conditionalFormatting>
  <dataValidations count="4">
    <dataValidation type="list" allowBlank="1" showInputMessage="1" showErrorMessage="1" sqref="C9 C24">
      <formula1>nazwy_gmin</formula1>
    </dataValidation>
    <dataValidation type="list" allowBlank="1" showInputMessage="1" showErrorMessage="1" sqref="E23">
      <formula1>nazwy_powiaty</formula1>
    </dataValidation>
    <dataValidation type="list" allowBlank="1" showInputMessage="1" showErrorMessage="1" sqref="C5:E5">
      <formula1>"2020,2021,2022,2023,2024,2025,2026"</formula1>
    </dataValidation>
    <dataValidation type="list" allowBlank="1" showInputMessage="1" showErrorMessage="1" sqref="E8">
      <formula1>Powiaty</formula1>
    </dataValidation>
  </dataValidations>
  <hyperlinks>
    <hyperlink ref="H5" location="tab.1_ZSO_powiaty!A1" tooltip="Tabela ZSO dla powiatów" display="tab.1_ZSO_powiaty"/>
    <hyperlink ref="H6" location="tab.2_EE_gminy!A1" tooltip="Tabela EE dla gmin" display="tab.2_EE_gminy"/>
    <hyperlink ref="H7" location="tab.3_KPP!A1" tooltip="Tabela kontrole" display="tab.3_KPP"/>
    <hyperlink ref="H8" location="tab.5_PDK!A1" tooltip="PDK" display="tab.5_PDK"/>
    <hyperlink ref="H4" location="tab.1_ZSO_gminy!A1" tooltip="Tabela ZSO dla gmin" display="tab.1_ZSO_gminy"/>
    <hyperlink ref="C15"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20"/>
  <sheetViews>
    <sheetView zoomScale="90" zoomScaleNormal="90" workbookViewId="0">
      <pane xSplit="4" ySplit="10" topLeftCell="E11" activePane="bottomRight" state="frozen"/>
      <selection pane="topRight" activeCell="D1" sqref="D1"/>
      <selection pane="bottomLeft" activeCell="A8" sqref="A8"/>
      <selection pane="bottomRight" activeCell="H17" sqref="H17"/>
    </sheetView>
  </sheetViews>
  <sheetFormatPr defaultColWidth="9.140625" defaultRowHeight="12" x14ac:dyDescent="0.2"/>
  <cols>
    <col min="1" max="1" width="4.42578125" style="1" customWidth="1"/>
    <col min="2" max="3" width="12.140625" style="1" customWidth="1"/>
    <col min="4" max="4" width="13.140625" style="1" customWidth="1"/>
    <col min="5" max="5" width="37.7109375" style="1" customWidth="1"/>
    <col min="6" max="6" width="29.7109375" style="1" customWidth="1"/>
    <col min="7" max="7" width="15.140625" style="1" customWidth="1"/>
    <col min="8" max="8" width="31.7109375" style="1" customWidth="1"/>
    <col min="9" max="9" width="15.28515625" style="1" customWidth="1"/>
    <col min="10" max="10" width="12.28515625" style="1" customWidth="1"/>
    <col min="11" max="13" width="10.7109375" style="1" customWidth="1"/>
    <col min="14" max="14" width="12.85546875" style="1" customWidth="1"/>
    <col min="15" max="15" width="23" style="1" customWidth="1"/>
    <col min="16" max="16" width="41.28515625" style="1" customWidth="1"/>
    <col min="17" max="17" width="9.140625" style="1"/>
    <col min="18" max="18" width="11" style="1" hidden="1" customWidth="1"/>
    <col min="19" max="20" width="0" style="1" hidden="1" customWidth="1"/>
    <col min="21" max="16384" width="9.140625" style="1"/>
  </cols>
  <sheetData>
    <row r="1" spans="1:20" ht="15.75" thickBot="1" x14ac:dyDescent="0.25">
      <c r="A1" s="149" t="s">
        <v>535</v>
      </c>
    </row>
    <row r="2" spans="1:20" ht="16.5" thickBot="1" x14ac:dyDescent="0.25">
      <c r="C2" s="74"/>
      <c r="D2" s="111"/>
      <c r="E2" s="112" t="s">
        <v>384</v>
      </c>
      <c r="F2" s="61">
        <f>IF(tabela_informacyjna_dla_JST!$C$5=0,"brak roku sprawozdawczego",tabela_informacyjna_dla_JST!$C$5)</f>
        <v>2022</v>
      </c>
    </row>
    <row r="3" spans="1:20" ht="18" thickBot="1" x14ac:dyDescent="0.25">
      <c r="C3" s="74"/>
      <c r="D3" s="111"/>
      <c r="E3" s="112" t="s">
        <v>504</v>
      </c>
      <c r="F3" s="95">
        <f>IFERROR(VLOOKUP(tabela_informacyjna_dla_JST!$D$9,gminy_26[],katalog_gmin_PL26!$H$1,FALSE),"brak nazwy gminy")</f>
        <v>30150</v>
      </c>
      <c r="G3" s="62"/>
      <c r="H3" s="62"/>
      <c r="I3" s="62"/>
      <c r="J3" s="62"/>
      <c r="K3" s="62"/>
      <c r="L3" s="62"/>
      <c r="M3" s="62"/>
      <c r="N3" s="62"/>
      <c r="R3" s="62"/>
    </row>
    <row r="4" spans="1:20" ht="18" thickBot="1" x14ac:dyDescent="0.25">
      <c r="C4" s="74"/>
      <c r="D4" s="111"/>
      <c r="E4" s="112" t="s">
        <v>456</v>
      </c>
      <c r="F4" s="95">
        <f>IFERROR(VLOOKUP(tabela_informacyjna_dla_JST!$D$9,gminy_26[],(HLOOKUP($F$2,katalog_gmin_PL26!$T$2:$Z$3,2,FALSE)),FALSE),"brak nazwy gminy lub roku")</f>
        <v>1610</v>
      </c>
      <c r="G4" s="62"/>
      <c r="H4" s="62"/>
      <c r="I4" s="171" t="s">
        <v>345</v>
      </c>
      <c r="J4" s="172"/>
      <c r="K4" s="172"/>
      <c r="L4" s="172"/>
      <c r="M4" s="172"/>
      <c r="N4" s="172"/>
      <c r="O4" s="173"/>
      <c r="R4" s="62"/>
    </row>
    <row r="5" spans="1:20" ht="32.25" x14ac:dyDescent="0.2">
      <c r="G5" s="62"/>
      <c r="H5" s="62"/>
      <c r="I5" s="113" t="s">
        <v>458</v>
      </c>
      <c r="J5" s="96" t="s">
        <v>30</v>
      </c>
      <c r="K5" s="96" t="s">
        <v>52</v>
      </c>
      <c r="L5" s="96" t="s">
        <v>52</v>
      </c>
      <c r="M5" s="96" t="s">
        <v>52</v>
      </c>
      <c r="N5" s="97"/>
      <c r="O5" s="97"/>
      <c r="R5" s="62"/>
    </row>
    <row r="6" spans="1:20" ht="22.15" customHeight="1" x14ac:dyDescent="0.2">
      <c r="A6" s="12" t="s">
        <v>429</v>
      </c>
      <c r="E6" s="13"/>
      <c r="F6" s="13"/>
      <c r="G6" s="13"/>
      <c r="H6" s="13"/>
      <c r="I6" s="114">
        <f t="shared" ref="I6:M6" si="0">SUM(I11:I20)</f>
        <v>1987</v>
      </c>
      <c r="J6" s="114">
        <f t="shared" si="0"/>
        <v>13</v>
      </c>
      <c r="K6" s="108">
        <f t="shared" si="0"/>
        <v>988.91093699999988</v>
      </c>
      <c r="L6" s="108">
        <f t="shared" si="0"/>
        <v>974.71409099999994</v>
      </c>
      <c r="M6" s="78">
        <f t="shared" si="0"/>
        <v>0.56358606</v>
      </c>
      <c r="N6" s="64">
        <f>SUM(N11:N20)</f>
        <v>520485.85</v>
      </c>
      <c r="O6" s="64">
        <f>SUM(O11:O20)</f>
        <v>343000.7</v>
      </c>
      <c r="P6" s="13"/>
      <c r="R6" s="62"/>
    </row>
    <row r="7" spans="1:20" ht="18" customHeight="1" x14ac:dyDescent="0.2">
      <c r="A7" s="166" t="s">
        <v>7</v>
      </c>
      <c r="B7" s="166" t="s">
        <v>31</v>
      </c>
      <c r="C7" s="166" t="s">
        <v>0</v>
      </c>
      <c r="D7" s="166" t="s">
        <v>25</v>
      </c>
      <c r="E7" s="166" t="s">
        <v>26</v>
      </c>
      <c r="F7" s="166" t="s">
        <v>21</v>
      </c>
      <c r="G7" s="166" t="s">
        <v>20</v>
      </c>
      <c r="H7" s="174" t="s">
        <v>418</v>
      </c>
      <c r="I7" s="174"/>
      <c r="J7" s="174"/>
      <c r="K7" s="175" t="s">
        <v>428</v>
      </c>
      <c r="L7" s="176"/>
      <c r="M7" s="177"/>
      <c r="N7" s="166" t="s">
        <v>422</v>
      </c>
      <c r="O7" s="169" t="s">
        <v>423</v>
      </c>
      <c r="P7" s="166" t="s">
        <v>22</v>
      </c>
      <c r="R7" s="168" t="s">
        <v>326</v>
      </c>
      <c r="S7" s="168"/>
      <c r="T7" s="168"/>
    </row>
    <row r="8" spans="1:20" ht="51" customHeight="1" x14ac:dyDescent="0.2">
      <c r="A8" s="167"/>
      <c r="B8" s="167"/>
      <c r="C8" s="167"/>
      <c r="D8" s="167"/>
      <c r="E8" s="167"/>
      <c r="F8" s="167"/>
      <c r="G8" s="167"/>
      <c r="H8" s="77" t="s">
        <v>449</v>
      </c>
      <c r="I8" s="65" t="s">
        <v>503</v>
      </c>
      <c r="J8" s="65" t="s">
        <v>419</v>
      </c>
      <c r="K8" s="65" t="s">
        <v>36</v>
      </c>
      <c r="L8" s="65" t="s">
        <v>37</v>
      </c>
      <c r="M8" s="65" t="s">
        <v>40</v>
      </c>
      <c r="N8" s="167"/>
      <c r="O8" s="170"/>
      <c r="P8" s="167"/>
      <c r="R8" s="110" t="s">
        <v>421</v>
      </c>
      <c r="S8" s="110" t="s">
        <v>6</v>
      </c>
      <c r="T8" s="110" t="s">
        <v>2</v>
      </c>
    </row>
    <row r="9" spans="1:20" x14ac:dyDescent="0.2">
      <c r="A9" s="19">
        <v>1</v>
      </c>
      <c r="B9" s="19">
        <f>A9+1</f>
        <v>2</v>
      </c>
      <c r="C9" s="19">
        <f>B9+1</f>
        <v>3</v>
      </c>
      <c r="D9" s="19">
        <f>C9+1</f>
        <v>4</v>
      </c>
      <c r="E9" s="19">
        <f t="shared" ref="E9:P9" si="1">D9+1</f>
        <v>5</v>
      </c>
      <c r="F9" s="19">
        <f t="shared" si="1"/>
        <v>6</v>
      </c>
      <c r="G9" s="19">
        <f t="shared" si="1"/>
        <v>7</v>
      </c>
      <c r="H9" s="19">
        <f t="shared" si="1"/>
        <v>8</v>
      </c>
      <c r="I9" s="19">
        <f t="shared" si="1"/>
        <v>9</v>
      </c>
      <c r="J9" s="19">
        <f t="shared" ref="J9" si="2">I9+1</f>
        <v>10</v>
      </c>
      <c r="K9" s="19">
        <f t="shared" ref="K9" si="3">J9+1</f>
        <v>11</v>
      </c>
      <c r="L9" s="19">
        <f t="shared" ref="L9" si="4">K9+1</f>
        <v>12</v>
      </c>
      <c r="M9" s="19">
        <f t="shared" ref="M9" si="5">L9+1</f>
        <v>13</v>
      </c>
      <c r="N9" s="19">
        <f t="shared" ref="N9" si="6">M9+1</f>
        <v>14</v>
      </c>
      <c r="O9" s="19">
        <f t="shared" si="1"/>
        <v>15</v>
      </c>
      <c r="P9" s="19">
        <f t="shared" si="1"/>
        <v>16</v>
      </c>
      <c r="R9" s="91" t="s">
        <v>453</v>
      </c>
      <c r="S9" s="91" t="s">
        <v>454</v>
      </c>
      <c r="T9" s="91" t="s">
        <v>455</v>
      </c>
    </row>
    <row r="10" spans="1:20" ht="78.75" x14ac:dyDescent="0.2">
      <c r="A10" s="15"/>
      <c r="B10" s="18" t="s">
        <v>61</v>
      </c>
      <c r="C10" s="18" t="s">
        <v>39</v>
      </c>
      <c r="D10" s="18" t="s">
        <v>39</v>
      </c>
      <c r="E10" s="18" t="s">
        <v>39</v>
      </c>
      <c r="F10" s="15" t="s">
        <v>23</v>
      </c>
      <c r="G10" s="15" t="s">
        <v>417</v>
      </c>
      <c r="H10" s="15" t="s">
        <v>420</v>
      </c>
      <c r="I10" s="14" t="s">
        <v>451</v>
      </c>
      <c r="J10" s="14" t="s">
        <v>450</v>
      </c>
      <c r="K10" s="18" t="s">
        <v>39</v>
      </c>
      <c r="L10" s="18" t="s">
        <v>39</v>
      </c>
      <c r="M10" s="18" t="s">
        <v>39</v>
      </c>
      <c r="N10" s="16" t="s">
        <v>24</v>
      </c>
      <c r="O10" s="16" t="s">
        <v>34</v>
      </c>
      <c r="P10" s="16" t="s">
        <v>510</v>
      </c>
      <c r="R10" s="92" t="s">
        <v>326</v>
      </c>
      <c r="S10" s="92" t="s">
        <v>326</v>
      </c>
      <c r="T10" s="92" t="s">
        <v>326</v>
      </c>
    </row>
    <row r="11" spans="1:20" ht="23.1" customHeight="1" x14ac:dyDescent="0.2">
      <c r="A11" s="3">
        <v>1</v>
      </c>
      <c r="B11" s="17" t="str">
        <f>tabela_informacyjna_dla_JST!$C$9</f>
        <v>Ruda Maleniecka</v>
      </c>
      <c r="C11" s="17" t="str">
        <f>tabela_informacyjna_dla_JST!$C$8</f>
        <v>konecki</v>
      </c>
      <c r="D11" s="59" t="str">
        <f>IFERROR(CONCATENATE(tabela_informacyjna_dla_JST!$D$7,"_ZSO"),"brak nazwy gminy")</f>
        <v>PL2602_ZSO</v>
      </c>
      <c r="E11" s="25" t="str">
        <f>IFERROR(VLOOKUP($D11,kat_zadania[],katalogi!$N$1-katalogi!$L$1,FALSE),"brak nazwy gminy")</f>
        <v>Ograniczenie emisji z instalacji o małej mocy do 1 MW, w których następuje spalanie paliw stałych</v>
      </c>
      <c r="F11" s="34" t="s">
        <v>545</v>
      </c>
      <c r="G11" s="34" t="s">
        <v>546</v>
      </c>
      <c r="H11" s="34" t="s">
        <v>406</v>
      </c>
      <c r="I11" s="136">
        <v>56</v>
      </c>
      <c r="J11" s="136">
        <v>1</v>
      </c>
      <c r="K11" s="90">
        <f>IFERROR(VLOOKUP($R11,kat_wsk_efektu[],wskaźniki_efektu!C$1,FALSE)*$I11/1000,"")</f>
        <v>27.223504000000002</v>
      </c>
      <c r="L11" s="90">
        <f>IFERROR(VLOOKUP($R11,kat_wsk_efektu[],wskaźniki_efektu!D$1,FALSE)*$I11/1000,"")</f>
        <v>26.988135999999997</v>
      </c>
      <c r="M11" s="90">
        <f>IFERROR(VLOOKUP($R11,kat_wsk_efektu[],wskaźniki_efektu!E$1,FALSE)*$I11/1000,"")</f>
        <v>1.5333359999999999E-2</v>
      </c>
      <c r="N11" s="137">
        <v>9000</v>
      </c>
      <c r="O11" s="137">
        <v>6000</v>
      </c>
      <c r="P11" s="138" t="s">
        <v>547</v>
      </c>
      <c r="R11" s="93" t="str">
        <f>IFERROR(VLOOKUP($H11,wskaźniki_efektu!$B$21:$C$34,wskaźniki_efektu!$C$1-wskaźniki_efektu!$A$1,FALSE),"")</f>
        <v>w_WK_eco</v>
      </c>
      <c r="S11" s="109" t="str">
        <f>VLOOKUP($B11,gminy_26[[nazwa gminy]:[kod gminy2]],2,FALSE)</f>
        <v>2605052</v>
      </c>
      <c r="T11" s="109" t="str">
        <f>VLOOKUP($S11,gminy_26[],katalog_gmin_PL26!$F$1,FALSE)</f>
        <v>PL2602</v>
      </c>
    </row>
    <row r="12" spans="1:20" ht="23.1" customHeight="1" x14ac:dyDescent="0.2">
      <c r="A12" s="3">
        <v>2</v>
      </c>
      <c r="B12" s="17" t="str">
        <f>tabela_informacyjna_dla_JST!$C$9</f>
        <v>Ruda Maleniecka</v>
      </c>
      <c r="C12" s="17" t="str">
        <f>tabela_informacyjna_dla_JST!$C$8</f>
        <v>konecki</v>
      </c>
      <c r="D12" s="59" t="str">
        <f>IFERROR(CONCATENATE(tabela_informacyjna_dla_JST!$D$7,"_ZSO"),"brak nazwy gminy")</f>
        <v>PL2602_ZSO</v>
      </c>
      <c r="E12" s="25" t="str">
        <f>IFERROR(VLOOKUP($D12,kat_zadania[],katalogi!$N$1-katalogi!$L$1,FALSE),"brak nazwy gminy")</f>
        <v>Ograniczenie emisji z instalacji o małej mocy do 1 MW, w których następuje spalanie paliw stałych</v>
      </c>
      <c r="F12" s="34" t="s">
        <v>545</v>
      </c>
      <c r="G12" s="34" t="s">
        <v>546</v>
      </c>
      <c r="H12" s="34" t="s">
        <v>407</v>
      </c>
      <c r="I12" s="136">
        <v>454</v>
      </c>
      <c r="J12" s="136">
        <v>3</v>
      </c>
      <c r="K12" s="90">
        <f>IFERROR(VLOOKUP($R12,kat_wsk_efektu[],wskaźniki_efektu!C$1,FALSE)*$I12/1000,"")</f>
        <v>219.59979999999999</v>
      </c>
      <c r="L12" s="90">
        <f>IFERROR(VLOOKUP($R12,kat_wsk_efektu[],wskaźniki_efektu!D$1,FALSE)*$I12/1000,"")</f>
        <v>216.659696</v>
      </c>
      <c r="M12" s="90">
        <f>IFERROR(VLOOKUP($R12,kat_wsk_efektu[],wskaźniki_efektu!E$1,FALSE)*$I12/1000,"")</f>
        <v>0.12577162</v>
      </c>
      <c r="N12" s="137">
        <v>70489.850000000006</v>
      </c>
      <c r="O12" s="137">
        <v>26895.7</v>
      </c>
      <c r="P12" s="138" t="s">
        <v>547</v>
      </c>
      <c r="R12" s="93" t="str">
        <f>IFERROR(VLOOKUP($H12,wskaźniki_efektu!$B$21:$C$34,wskaźniki_efektu!$C$1-wskaźniki_efektu!$A$1,FALSE),"")</f>
        <v>w_WK_eco_b</v>
      </c>
      <c r="S12" s="109" t="str">
        <f>VLOOKUP($B12,gminy_26[[nazwa gminy]:[kod gminy2]],2,FALSE)</f>
        <v>2605052</v>
      </c>
      <c r="T12" s="109" t="str">
        <f>VLOOKUP($S12,gminy_26[],katalog_gmin_PL26!$F$1,FALSE)</f>
        <v>PL2602</v>
      </c>
    </row>
    <row r="13" spans="1:20" ht="23.1" customHeight="1" x14ac:dyDescent="0.2">
      <c r="A13" s="3">
        <v>3</v>
      </c>
      <c r="B13" s="17" t="str">
        <f>tabela_informacyjna_dla_JST!$C$9</f>
        <v>Ruda Maleniecka</v>
      </c>
      <c r="C13" s="17" t="str">
        <f>tabela_informacyjna_dla_JST!$C$8</f>
        <v>konecki</v>
      </c>
      <c r="D13" s="59" t="str">
        <f>IFERROR(CONCATENATE(tabela_informacyjna_dla_JST!$D$7,"_ZSO"),"brak nazwy gminy")</f>
        <v>PL2602_ZSO</v>
      </c>
      <c r="E13" s="25" t="str">
        <f>IFERROR(VLOOKUP($D13,kat_zadania[],katalogi!$N$1-katalogi!$L$1,FALSE),"brak nazwy gminy")</f>
        <v>Ograniczenie emisji z instalacji o małej mocy do 1 MW, w których następuje spalanie paliw stałych</v>
      </c>
      <c r="F13" s="34" t="s">
        <v>545</v>
      </c>
      <c r="G13" s="34" t="s">
        <v>546</v>
      </c>
      <c r="H13" s="34" t="s">
        <v>405</v>
      </c>
      <c r="I13" s="136">
        <v>1167</v>
      </c>
      <c r="J13" s="136">
        <v>7</v>
      </c>
      <c r="K13" s="90">
        <f>IFERROR(VLOOKUP($R13,kat_wsk_efektu[],wskaźniki_efektu!C$1,FALSE)*$I13/1000,"")</f>
        <v>586.33464299999991</v>
      </c>
      <c r="L13" s="90">
        <f>IFERROR(VLOOKUP($R13,kat_wsk_efektu[],wskaźniki_efektu!D$1,FALSE)*$I13/1000,"")</f>
        <v>577.62648899999999</v>
      </c>
      <c r="M13" s="90">
        <f>IFERROR(VLOOKUP($R13,kat_wsk_efektu[],wskaźniki_efektu!E$1,FALSE)*$I13/1000,"")</f>
        <v>0.33380868000000002</v>
      </c>
      <c r="N13" s="137">
        <v>347316</v>
      </c>
      <c r="O13" s="137">
        <v>230900</v>
      </c>
      <c r="P13" s="138" t="s">
        <v>547</v>
      </c>
      <c r="R13" s="93" t="str">
        <f>IFERROR(VLOOKUP($H13,wskaźniki_efektu!$B$21:$C$34,wskaźniki_efektu!$C$1-wskaźniki_efektu!$A$1,FALSE),"")</f>
        <v>w_pompa</v>
      </c>
      <c r="S13" s="109" t="str">
        <f>VLOOKUP($B13,gminy_26[[nazwa gminy]:[kod gminy2]],2,FALSE)</f>
        <v>2605052</v>
      </c>
      <c r="T13" s="109" t="str">
        <f>VLOOKUP($S13,gminy_26[],katalog_gmin_PL26!$F$1,FALSE)</f>
        <v>PL2602</v>
      </c>
    </row>
    <row r="14" spans="1:20" ht="23.1" customHeight="1" x14ac:dyDescent="0.2">
      <c r="A14" s="3">
        <v>4</v>
      </c>
      <c r="B14" s="17" t="str">
        <f>tabela_informacyjna_dla_JST!$C$9</f>
        <v>Ruda Maleniecka</v>
      </c>
      <c r="C14" s="17" t="str">
        <f>tabela_informacyjna_dla_JST!$C$8</f>
        <v>konecki</v>
      </c>
      <c r="D14" s="59" t="str">
        <f>IFERROR(CONCATENATE(tabela_informacyjna_dla_JST!$D$7,"_ZSO"),"brak nazwy gminy")</f>
        <v>PL2602_ZSO</v>
      </c>
      <c r="E14" s="25" t="str">
        <f>IFERROR(VLOOKUP($D14,kat_zadania[],katalogi!$N$1-katalogi!$L$1,FALSE),"brak nazwy gminy")</f>
        <v>Ograniczenie emisji z instalacji o małej mocy do 1 MW, w których następuje spalanie paliw stałych</v>
      </c>
      <c r="F14" s="34" t="s">
        <v>545</v>
      </c>
      <c r="G14" s="34" t="s">
        <v>546</v>
      </c>
      <c r="H14" s="34" t="s">
        <v>412</v>
      </c>
      <c r="I14" s="136">
        <v>310</v>
      </c>
      <c r="J14" s="136">
        <v>2</v>
      </c>
      <c r="K14" s="90">
        <f>IFERROR(VLOOKUP($R14,kat_wsk_efektu[],wskaźniki_efektu!C$1,FALSE)*$I14/1000,"")</f>
        <v>155.75298999999998</v>
      </c>
      <c r="L14" s="90">
        <f>IFERROR(VLOOKUP($R14,kat_wsk_efektu[],wskaźniki_efektu!D$1,FALSE)*$I14/1000,"")</f>
        <v>153.43976999999998</v>
      </c>
      <c r="M14" s="90">
        <f>IFERROR(VLOOKUP($R14,kat_wsk_efektu[],wskaźniki_efektu!E$1,FALSE)*$I14/1000,"")</f>
        <v>8.8672400000000012E-2</v>
      </c>
      <c r="N14" s="137">
        <v>93680</v>
      </c>
      <c r="O14" s="137">
        <v>79205</v>
      </c>
      <c r="P14" s="138" t="s">
        <v>547</v>
      </c>
      <c r="R14" s="93" t="str">
        <f>IFERROR(VLOOKUP($H14,wskaźniki_efektu!$B$21:$C$34,wskaźniki_efektu!$C$1-wskaźniki_efektu!$A$1,FALSE),"")</f>
        <v>w_pompa</v>
      </c>
      <c r="S14" s="109" t="str">
        <f>VLOOKUP($B14,gminy_26[[nazwa gminy]:[kod gminy2]],2,FALSE)</f>
        <v>2605052</v>
      </c>
      <c r="T14" s="109" t="str">
        <f>VLOOKUP($S14,gminy_26[],katalog_gmin_PL26!$F$1,FALSE)</f>
        <v>PL2602</v>
      </c>
    </row>
    <row r="15" spans="1:20" ht="23.1" customHeight="1" x14ac:dyDescent="0.2">
      <c r="A15" s="3">
        <v>5</v>
      </c>
      <c r="B15" s="17" t="str">
        <f>tabela_informacyjna_dla_JST!$C$9</f>
        <v>Ruda Maleniecka</v>
      </c>
      <c r="C15" s="17" t="str">
        <f>tabela_informacyjna_dla_JST!$C$8</f>
        <v>konecki</v>
      </c>
      <c r="D15" s="59" t="str">
        <f>IFERROR(CONCATENATE(tabela_informacyjna_dla_JST!$D$7,"_ZSO"),"brak nazwy gminy")</f>
        <v>PL2602_ZSO</v>
      </c>
      <c r="E15" s="25" t="str">
        <f>IFERROR(VLOOKUP($D15,kat_zadania[],katalogi!$N$1-katalogi!$L$1,FALSE),"brak nazwy gminy")</f>
        <v>Ograniczenie emisji z instalacji o małej mocy do 1 MW, w których następuje spalanie paliw stałych</v>
      </c>
      <c r="F15" s="34"/>
      <c r="G15" s="34"/>
      <c r="H15" s="34"/>
      <c r="I15" s="136"/>
      <c r="J15" s="136"/>
      <c r="K15" s="90" t="str">
        <f>IFERROR(VLOOKUP($R15,kat_wsk_efektu[],wskaźniki_efektu!C$1,FALSE)*$I15/1000,"")</f>
        <v/>
      </c>
      <c r="L15" s="90" t="str">
        <f>IFERROR(VLOOKUP($R15,kat_wsk_efektu[],wskaźniki_efektu!D$1,FALSE)*$I15/1000,"")</f>
        <v/>
      </c>
      <c r="M15" s="90" t="str">
        <f>IFERROR(VLOOKUP($R15,kat_wsk_efektu[],wskaźniki_efektu!E$1,FALSE)*$I15/1000,"")</f>
        <v/>
      </c>
      <c r="N15" s="137"/>
      <c r="O15" s="137"/>
      <c r="P15" s="138"/>
      <c r="R15" s="93" t="str">
        <f>IFERROR(VLOOKUP($H15,wskaźniki_efektu!$B$21:$C$34,wskaźniki_efektu!$C$1-wskaźniki_efektu!$A$1,FALSE),"")</f>
        <v/>
      </c>
      <c r="S15" s="109" t="str">
        <f>VLOOKUP($B15,gminy_26[[nazwa gminy]:[kod gminy2]],2,FALSE)</f>
        <v>2605052</v>
      </c>
      <c r="T15" s="109" t="str">
        <f>VLOOKUP($S15,gminy_26[],katalog_gmin_PL26!$F$1,FALSE)</f>
        <v>PL2602</v>
      </c>
    </row>
    <row r="16" spans="1:20" ht="23.1" customHeight="1" x14ac:dyDescent="0.2">
      <c r="A16" s="3">
        <v>6</v>
      </c>
      <c r="B16" s="17" t="str">
        <f>tabela_informacyjna_dla_JST!$C$9</f>
        <v>Ruda Maleniecka</v>
      </c>
      <c r="C16" s="17" t="str">
        <f>tabela_informacyjna_dla_JST!$C$8</f>
        <v>konecki</v>
      </c>
      <c r="D16" s="59" t="str">
        <f>IFERROR(CONCATENATE(tabela_informacyjna_dla_JST!$D$7,"_ZSO"),"brak nazwy gminy")</f>
        <v>PL2602_ZSO</v>
      </c>
      <c r="E16" s="25" t="str">
        <f>IFERROR(VLOOKUP($D16,kat_zadania[],katalogi!$N$1-katalogi!$L$1,FALSE),"brak nazwy gminy")</f>
        <v>Ograniczenie emisji z instalacji o małej mocy do 1 MW, w których następuje spalanie paliw stałych</v>
      </c>
      <c r="F16" s="34"/>
      <c r="G16" s="34"/>
      <c r="H16" s="34"/>
      <c r="I16" s="136"/>
      <c r="J16" s="136"/>
      <c r="K16" s="90" t="str">
        <f>IFERROR(VLOOKUP($R16,kat_wsk_efektu[],wskaźniki_efektu!C$1,FALSE)*$I16/1000,"")</f>
        <v/>
      </c>
      <c r="L16" s="90" t="str">
        <f>IFERROR(VLOOKUP($R16,kat_wsk_efektu[],wskaźniki_efektu!D$1,FALSE)*$I16/1000,"")</f>
        <v/>
      </c>
      <c r="M16" s="90" t="str">
        <f>IFERROR(VLOOKUP($R16,kat_wsk_efektu[],wskaźniki_efektu!E$1,FALSE)*$I16/1000,"")</f>
        <v/>
      </c>
      <c r="N16" s="137"/>
      <c r="O16" s="137"/>
      <c r="P16" s="138"/>
      <c r="R16" s="93" t="str">
        <f>IFERROR(VLOOKUP($H16,wskaźniki_efektu!$B$21:$C$34,wskaźniki_efektu!$C$1-wskaźniki_efektu!$A$1,FALSE),"")</f>
        <v/>
      </c>
      <c r="S16" s="109" t="str">
        <f>VLOOKUP($B16,gminy_26[[nazwa gminy]:[kod gminy2]],2,FALSE)</f>
        <v>2605052</v>
      </c>
      <c r="T16" s="109" t="str">
        <f>VLOOKUP($S16,gminy_26[],katalog_gmin_PL26!$F$1,FALSE)</f>
        <v>PL2602</v>
      </c>
    </row>
    <row r="17" spans="1:20" ht="23.1" customHeight="1" x14ac:dyDescent="0.2">
      <c r="A17" s="3">
        <v>7</v>
      </c>
      <c r="B17" s="17" t="str">
        <f>tabela_informacyjna_dla_JST!$C$9</f>
        <v>Ruda Maleniecka</v>
      </c>
      <c r="C17" s="17" t="str">
        <f>tabela_informacyjna_dla_JST!$C$8</f>
        <v>konecki</v>
      </c>
      <c r="D17" s="59" t="str">
        <f>IFERROR(CONCATENATE(tabela_informacyjna_dla_JST!$D$7,"_ZSO"),"brak nazwy gminy")</f>
        <v>PL2602_ZSO</v>
      </c>
      <c r="E17" s="25" t="str">
        <f>IFERROR(VLOOKUP($D17,kat_zadania[],katalogi!$N$1-katalogi!$L$1,FALSE),"brak nazwy gminy")</f>
        <v>Ograniczenie emisji z instalacji o małej mocy do 1 MW, w których następuje spalanie paliw stałych</v>
      </c>
      <c r="F17" s="34"/>
      <c r="G17" s="34"/>
      <c r="H17" s="34"/>
      <c r="I17" s="136"/>
      <c r="J17" s="136"/>
      <c r="K17" s="90" t="str">
        <f>IFERROR(VLOOKUP($R17,kat_wsk_efektu[],wskaźniki_efektu!C$1,FALSE)*$I17/1000,"")</f>
        <v/>
      </c>
      <c r="L17" s="90" t="str">
        <f>IFERROR(VLOOKUP($R17,kat_wsk_efektu[],wskaźniki_efektu!D$1,FALSE)*$I17/1000,"")</f>
        <v/>
      </c>
      <c r="M17" s="90" t="str">
        <f>IFERROR(VLOOKUP($R17,kat_wsk_efektu[],wskaźniki_efektu!E$1,FALSE)*$I17/1000,"")</f>
        <v/>
      </c>
      <c r="N17" s="137"/>
      <c r="O17" s="137"/>
      <c r="P17" s="138"/>
      <c r="R17" s="93" t="str">
        <f>IFERROR(VLOOKUP($H17,wskaźniki_efektu!$B$21:$C$34,wskaźniki_efektu!$C$1-wskaźniki_efektu!$A$1,FALSE),"")</f>
        <v/>
      </c>
      <c r="S17" s="109" t="str">
        <f>VLOOKUP($B17,gminy_26[[nazwa gminy]:[kod gminy2]],2,FALSE)</f>
        <v>2605052</v>
      </c>
      <c r="T17" s="109" t="str">
        <f>VLOOKUP($S17,gminy_26[],katalog_gmin_PL26!$F$1,FALSE)</f>
        <v>PL2602</v>
      </c>
    </row>
    <row r="18" spans="1:20" ht="23.1" customHeight="1" x14ac:dyDescent="0.2">
      <c r="A18" s="3">
        <v>8</v>
      </c>
      <c r="B18" s="17" t="str">
        <f>tabela_informacyjna_dla_JST!$C$9</f>
        <v>Ruda Maleniecka</v>
      </c>
      <c r="C18" s="17" t="str">
        <f>tabela_informacyjna_dla_JST!$C$8</f>
        <v>konecki</v>
      </c>
      <c r="D18" s="59" t="str">
        <f>IFERROR(CONCATENATE(tabela_informacyjna_dla_JST!$D$7,"_ZSO"),"brak nazwy gminy")</f>
        <v>PL2602_ZSO</v>
      </c>
      <c r="E18" s="25" t="str">
        <f>IFERROR(VLOOKUP($D18,kat_zadania[],katalogi!$N$1-katalogi!$L$1,FALSE),"brak nazwy gminy")</f>
        <v>Ograniczenie emisji z instalacji o małej mocy do 1 MW, w których następuje spalanie paliw stałych</v>
      </c>
      <c r="F18" s="34"/>
      <c r="G18" s="34"/>
      <c r="H18" s="34"/>
      <c r="I18" s="136"/>
      <c r="J18" s="136"/>
      <c r="K18" s="90" t="str">
        <f>IFERROR(VLOOKUP($R18,kat_wsk_efektu[],wskaźniki_efektu!C$1,FALSE)*$I18/1000,"")</f>
        <v/>
      </c>
      <c r="L18" s="90" t="str">
        <f>IFERROR(VLOOKUP($R18,kat_wsk_efektu[],wskaźniki_efektu!D$1,FALSE)*$I18/1000,"")</f>
        <v/>
      </c>
      <c r="M18" s="90" t="str">
        <f>IFERROR(VLOOKUP($R18,kat_wsk_efektu[],wskaźniki_efektu!E$1,FALSE)*$I18/1000,"")</f>
        <v/>
      </c>
      <c r="N18" s="137"/>
      <c r="O18" s="137"/>
      <c r="P18" s="138"/>
      <c r="R18" s="93" t="str">
        <f>IFERROR(VLOOKUP($H18,wskaźniki_efektu!$B$21:$C$34,wskaźniki_efektu!$C$1-wskaźniki_efektu!$A$1,FALSE),"")</f>
        <v/>
      </c>
      <c r="S18" s="109" t="str">
        <f>VLOOKUP($B18,gminy_26[[nazwa gminy]:[kod gminy2]],2,FALSE)</f>
        <v>2605052</v>
      </c>
      <c r="T18" s="109" t="str">
        <f>VLOOKUP($S18,gminy_26[],katalog_gmin_PL26!$F$1,FALSE)</f>
        <v>PL2602</v>
      </c>
    </row>
    <row r="19" spans="1:20" ht="23.1" customHeight="1" x14ac:dyDescent="0.2">
      <c r="A19" s="3">
        <v>9</v>
      </c>
      <c r="B19" s="17" t="str">
        <f>tabela_informacyjna_dla_JST!$C$9</f>
        <v>Ruda Maleniecka</v>
      </c>
      <c r="C19" s="17" t="str">
        <f>tabela_informacyjna_dla_JST!$C$8</f>
        <v>konecki</v>
      </c>
      <c r="D19" s="59" t="str">
        <f>IFERROR(CONCATENATE(tabela_informacyjna_dla_JST!$D$7,"_ZSO"),"brak nazwy gminy")</f>
        <v>PL2602_ZSO</v>
      </c>
      <c r="E19" s="25" t="str">
        <f>IFERROR(VLOOKUP($D19,kat_zadania[],katalogi!$N$1-katalogi!$L$1,FALSE),"brak nazwy gminy")</f>
        <v>Ograniczenie emisji z instalacji o małej mocy do 1 MW, w których następuje spalanie paliw stałych</v>
      </c>
      <c r="F19" s="34"/>
      <c r="G19" s="34"/>
      <c r="H19" s="34"/>
      <c r="I19" s="136"/>
      <c r="J19" s="136"/>
      <c r="K19" s="90" t="str">
        <f>IFERROR(VLOOKUP($R19,kat_wsk_efektu[],wskaźniki_efektu!C$1,FALSE)*$I19/1000,"")</f>
        <v/>
      </c>
      <c r="L19" s="90" t="str">
        <f>IFERROR(VLOOKUP($R19,kat_wsk_efektu[],wskaźniki_efektu!D$1,FALSE)*$I19/1000,"")</f>
        <v/>
      </c>
      <c r="M19" s="90" t="str">
        <f>IFERROR(VLOOKUP($R19,kat_wsk_efektu[],wskaźniki_efektu!E$1,FALSE)*$I19/1000,"")</f>
        <v/>
      </c>
      <c r="N19" s="137"/>
      <c r="O19" s="137"/>
      <c r="P19" s="138"/>
      <c r="R19" s="93" t="str">
        <f>IFERROR(VLOOKUP($H19,wskaźniki_efektu!$B$21:$C$34,wskaźniki_efektu!$C$1-wskaźniki_efektu!$A$1,FALSE),"")</f>
        <v/>
      </c>
      <c r="S19" s="109" t="str">
        <f>VLOOKUP($B19,gminy_26[[nazwa gminy]:[kod gminy2]],2,FALSE)</f>
        <v>2605052</v>
      </c>
      <c r="T19" s="109" t="str">
        <f>VLOOKUP($S19,gminy_26[],katalog_gmin_PL26!$F$1,FALSE)</f>
        <v>PL2602</v>
      </c>
    </row>
    <row r="20" spans="1:20" ht="23.1" customHeight="1" x14ac:dyDescent="0.2">
      <c r="A20" s="3">
        <v>10</v>
      </c>
      <c r="B20" s="17" t="str">
        <f>tabela_informacyjna_dla_JST!$C$9</f>
        <v>Ruda Maleniecka</v>
      </c>
      <c r="C20" s="17" t="str">
        <f>tabela_informacyjna_dla_JST!$C$8</f>
        <v>konecki</v>
      </c>
      <c r="D20" s="59" t="str">
        <f>IFERROR(CONCATENATE(tabela_informacyjna_dla_JST!$D$7,"_ZSO"),"brak nazwy gminy")</f>
        <v>PL2602_ZSO</v>
      </c>
      <c r="E20" s="25" t="str">
        <f>IFERROR(VLOOKUP($D20,kat_zadania[],katalogi!$N$1-katalogi!$L$1,FALSE),"brak nazwy gminy")</f>
        <v>Ograniczenie emisji z instalacji o małej mocy do 1 MW, w których następuje spalanie paliw stałych</v>
      </c>
      <c r="F20" s="34"/>
      <c r="G20" s="34"/>
      <c r="H20" s="34"/>
      <c r="I20" s="136"/>
      <c r="J20" s="136"/>
      <c r="K20" s="90" t="str">
        <f>IFERROR(VLOOKUP($R20,kat_wsk_efektu[],wskaźniki_efektu!C$1,FALSE)*$I20/1000,"")</f>
        <v/>
      </c>
      <c r="L20" s="90" t="str">
        <f>IFERROR(VLOOKUP($R20,kat_wsk_efektu[],wskaźniki_efektu!D$1,FALSE)*$I20/1000,"")</f>
        <v/>
      </c>
      <c r="M20" s="90" t="str">
        <f>IFERROR(VLOOKUP($R20,kat_wsk_efektu[],wskaźniki_efektu!E$1,FALSE)*$I20/1000,"")</f>
        <v/>
      </c>
      <c r="N20" s="137"/>
      <c r="O20" s="137"/>
      <c r="P20" s="138"/>
      <c r="R20" s="93" t="str">
        <f>IFERROR(VLOOKUP($H20,wskaźniki_efektu!$B$21:$C$34,wskaźniki_efektu!$C$1-wskaźniki_efektu!$A$1,FALSE),"")</f>
        <v/>
      </c>
      <c r="S20" s="109" t="str">
        <f>VLOOKUP($B20,gminy_26[[nazwa gminy]:[kod gminy2]],2,FALSE)</f>
        <v>2605052</v>
      </c>
      <c r="T20" s="109" t="str">
        <f>VLOOKUP($S20,gminy_26[],katalog_gmin_PL26!$F$1,FALSE)</f>
        <v>PL2602</v>
      </c>
    </row>
  </sheetData>
  <sheetProtection formatCells="0" formatRows="0" sort="0" autoFilter="0" pivotTables="0"/>
  <mergeCells count="14">
    <mergeCell ref="R7:T7"/>
    <mergeCell ref="N7:N8"/>
    <mergeCell ref="O7:O8"/>
    <mergeCell ref="C7:C8"/>
    <mergeCell ref="I4:O4"/>
    <mergeCell ref="P7:P8"/>
    <mergeCell ref="G7:G8"/>
    <mergeCell ref="H7:J7"/>
    <mergeCell ref="K7:M7"/>
    <mergeCell ref="A7:A8"/>
    <mergeCell ref="B7:B8"/>
    <mergeCell ref="D7:D8"/>
    <mergeCell ref="E7:E8"/>
    <mergeCell ref="F7:F8"/>
  </mergeCells>
  <phoneticPr fontId="25" type="noConversion"/>
  <conditionalFormatting sqref="B11:C20">
    <cfRule type="cellIs" dxfId="10" priority="2" operator="equal">
      <formula>0</formula>
    </cfRule>
  </conditionalFormatting>
  <conditionalFormatting sqref="K11:M20">
    <cfRule type="expression" dxfId="9" priority="1">
      <formula>$I11=0</formula>
    </cfRule>
  </conditionalFormatting>
  <dataValidations count="5">
    <dataValidation type="whole" operator="greaterThanOrEqual" allowBlank="1" showInputMessage="1" showErrorMessage="1" error="Proszę podać wartość liczbową!" sqref="I11:J20">
      <formula1>0</formula1>
    </dataValidation>
    <dataValidation type="decimal" operator="greaterThanOrEqual" allowBlank="1" showInputMessage="1" showErrorMessage="1" error="Proszę podać wartość liczbową!" sqref="N11:O20">
      <formula1>0</formula1>
    </dataValidation>
    <dataValidation type="list" operator="greaterThanOrEqual" allowBlank="1" showInputMessage="1" showErrorMessage="1" error="Proszę podać wartość liczbową!" sqref="H11:H20">
      <formula1>monit_ZSO</formula1>
    </dataValidation>
    <dataValidation operator="greaterThanOrEqual" allowBlank="1" showDropDown="1" showInputMessage="1" showErrorMessage="1" error="Proszę podać wartość liczbową!" sqref="R11:R20"/>
    <dataValidation operator="greaterThanOrEqual" allowBlank="1" showInputMessage="1" showErrorMessage="1" error="Proszę podać wartość liczbową!" sqref="K11:M20 G11:G20"/>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V20"/>
  <sheetViews>
    <sheetView zoomScale="90" zoomScaleNormal="90" workbookViewId="0">
      <pane xSplit="4" ySplit="10" topLeftCell="E11" activePane="bottomRight" state="frozen"/>
      <selection pane="topRight" activeCell="D1" sqref="D1"/>
      <selection pane="bottomLeft" activeCell="A8" sqref="A8"/>
      <selection pane="bottomRight" activeCell="C11" sqref="C11"/>
    </sheetView>
  </sheetViews>
  <sheetFormatPr defaultColWidth="9.140625" defaultRowHeight="12" x14ac:dyDescent="0.2"/>
  <cols>
    <col min="1" max="1" width="4.42578125" style="1" customWidth="1"/>
    <col min="2" max="3" width="12.140625" style="1" customWidth="1"/>
    <col min="4" max="4" width="13.140625" style="1" customWidth="1"/>
    <col min="5" max="5" width="37.7109375" style="1" customWidth="1"/>
    <col min="6" max="6" width="29.7109375" style="1" customWidth="1"/>
    <col min="7" max="7" width="15.140625" style="1" customWidth="1"/>
    <col min="8" max="8" width="31.7109375" style="1" customWidth="1"/>
    <col min="9" max="9" width="15.28515625" style="1" customWidth="1"/>
    <col min="10" max="10" width="12.28515625" style="1" customWidth="1"/>
    <col min="11" max="13" width="10.7109375" style="1" customWidth="1"/>
    <col min="14" max="14" width="12.85546875" style="1" customWidth="1"/>
    <col min="15" max="15" width="23" style="1" customWidth="1"/>
    <col min="16" max="16" width="41.28515625" style="1" customWidth="1"/>
    <col min="17" max="17" width="25.28515625" style="1" customWidth="1"/>
    <col min="18" max="18" width="9.140625" style="1"/>
    <col min="19" max="19" width="9" style="1" customWidth="1"/>
    <col min="20" max="20" width="8.28515625" style="1" customWidth="1"/>
    <col min="21" max="21" width="7.85546875" style="1" customWidth="1"/>
    <col min="22" max="22" width="9.140625" style="1" customWidth="1"/>
    <col min="23" max="16384" width="9.140625" style="1"/>
  </cols>
  <sheetData>
    <row r="1" spans="1:22" ht="15.75" thickBot="1" x14ac:dyDescent="0.25">
      <c r="A1" s="131" t="s">
        <v>486</v>
      </c>
    </row>
    <row r="2" spans="1:22" ht="16.5" thickBot="1" x14ac:dyDescent="0.25">
      <c r="C2" s="74"/>
      <c r="D2" s="111"/>
      <c r="E2" s="112" t="s">
        <v>384</v>
      </c>
      <c r="F2" s="61" t="str">
        <f>IF(tabela_informacyjna_dla_JST!$E$5=0,"brak roku sprawozdawczego",tabela_informacyjna_dla_JST!$E$5)</f>
        <v>brak roku sprawozdawczego</v>
      </c>
    </row>
    <row r="3" spans="1:22" ht="18" thickBot="1" x14ac:dyDescent="0.25">
      <c r="C3" s="74"/>
      <c r="D3" s="111"/>
      <c r="E3" s="112" t="s">
        <v>505</v>
      </c>
      <c r="F3" s="95">
        <f>SUMIFS(gminy_26[ogółem],gminy_26[kod powiatu],tabela_informacyjna_dla_JST!$F$8)</f>
        <v>0</v>
      </c>
      <c r="G3" s="62"/>
      <c r="H3" s="62"/>
      <c r="I3" s="62"/>
      <c r="J3" s="62"/>
      <c r="K3" s="62"/>
      <c r="L3" s="62"/>
      <c r="M3" s="62"/>
      <c r="N3" s="62"/>
      <c r="S3" s="62"/>
    </row>
    <row r="4" spans="1:22" ht="18" thickBot="1" x14ac:dyDescent="0.25">
      <c r="C4" s="74"/>
      <c r="D4" s="111"/>
      <c r="E4" s="112" t="s">
        <v>457</v>
      </c>
      <c r="F4" s="95" t="str">
        <f>IFERROR(VLOOKUP(tabela_informacyjna_dla_JST!$F$8,katalog_gmin_PL26!$S$4:$Z$17,$F$2-2018,FALSE),"brak nazwy powiatu lub roku")</f>
        <v>brak nazwy powiatu lub roku</v>
      </c>
      <c r="G4" s="62"/>
      <c r="H4" s="62"/>
      <c r="I4" s="171" t="s">
        <v>345</v>
      </c>
      <c r="J4" s="172"/>
      <c r="K4" s="172"/>
      <c r="L4" s="172"/>
      <c r="M4" s="172"/>
      <c r="N4" s="172"/>
      <c r="O4" s="173"/>
      <c r="S4" s="62"/>
    </row>
    <row r="5" spans="1:22" ht="15.75" x14ac:dyDescent="0.2">
      <c r="G5" s="62"/>
      <c r="H5" s="62"/>
      <c r="I5" s="96" t="s">
        <v>29</v>
      </c>
      <c r="J5" s="96" t="s">
        <v>30</v>
      </c>
      <c r="K5" s="96" t="s">
        <v>52</v>
      </c>
      <c r="L5" s="96" t="s">
        <v>52</v>
      </c>
      <c r="M5" s="96" t="s">
        <v>52</v>
      </c>
      <c r="N5" s="97"/>
      <c r="O5" s="97"/>
      <c r="S5" s="62"/>
    </row>
    <row r="6" spans="1:22" ht="22.15" customHeight="1" x14ac:dyDescent="0.2">
      <c r="A6" s="12" t="s">
        <v>429</v>
      </c>
      <c r="E6" s="13"/>
      <c r="F6" s="13"/>
      <c r="G6" s="13"/>
      <c r="H6" s="13"/>
      <c r="I6" s="114">
        <f t="shared" ref="I6:M6" si="0">SUM(I11:I20)</f>
        <v>0</v>
      </c>
      <c r="J6" s="114">
        <f t="shared" si="0"/>
        <v>0</v>
      </c>
      <c r="K6" s="108">
        <f t="shared" si="0"/>
        <v>0</v>
      </c>
      <c r="L6" s="108">
        <f t="shared" si="0"/>
        <v>0</v>
      </c>
      <c r="M6" s="78">
        <f t="shared" si="0"/>
        <v>0</v>
      </c>
      <c r="N6" s="64">
        <f>SUM(N11:N20)</f>
        <v>0</v>
      </c>
      <c r="O6" s="64">
        <f>SUM(O11:O20)</f>
        <v>0</v>
      </c>
      <c r="P6" s="13"/>
      <c r="Q6" s="13"/>
      <c r="S6" s="62"/>
    </row>
    <row r="7" spans="1:22" ht="18" customHeight="1" x14ac:dyDescent="0.2">
      <c r="A7" s="166" t="s">
        <v>7</v>
      </c>
      <c r="B7" s="166" t="s">
        <v>452</v>
      </c>
      <c r="C7" s="166" t="s">
        <v>0</v>
      </c>
      <c r="D7" s="166" t="s">
        <v>25</v>
      </c>
      <c r="E7" s="166" t="s">
        <v>26</v>
      </c>
      <c r="F7" s="166" t="s">
        <v>21</v>
      </c>
      <c r="G7" s="166" t="s">
        <v>20</v>
      </c>
      <c r="H7" s="174" t="s">
        <v>418</v>
      </c>
      <c r="I7" s="174"/>
      <c r="J7" s="174"/>
      <c r="K7" s="175" t="s">
        <v>428</v>
      </c>
      <c r="L7" s="176"/>
      <c r="M7" s="177"/>
      <c r="N7" s="166" t="s">
        <v>422</v>
      </c>
      <c r="O7" s="169" t="s">
        <v>423</v>
      </c>
      <c r="P7" s="166" t="s">
        <v>22</v>
      </c>
      <c r="Q7" s="98" t="s">
        <v>461</v>
      </c>
      <c r="S7" s="168" t="s">
        <v>326</v>
      </c>
      <c r="T7" s="168"/>
      <c r="U7" s="168"/>
      <c r="V7" s="168"/>
    </row>
    <row r="8" spans="1:22" ht="51" customHeight="1" x14ac:dyDescent="0.2">
      <c r="A8" s="167"/>
      <c r="B8" s="167"/>
      <c r="C8" s="167"/>
      <c r="D8" s="167"/>
      <c r="E8" s="167"/>
      <c r="F8" s="167"/>
      <c r="G8" s="167"/>
      <c r="H8" s="77" t="s">
        <v>449</v>
      </c>
      <c r="I8" s="134" t="s">
        <v>503</v>
      </c>
      <c r="J8" s="99" t="s">
        <v>419</v>
      </c>
      <c r="K8" s="99" t="s">
        <v>36</v>
      </c>
      <c r="L8" s="99" t="s">
        <v>37</v>
      </c>
      <c r="M8" s="99" t="s">
        <v>40</v>
      </c>
      <c r="N8" s="167"/>
      <c r="O8" s="170"/>
      <c r="P8" s="167"/>
      <c r="Q8" s="116" t="s">
        <v>462</v>
      </c>
      <c r="S8" s="110" t="s">
        <v>421</v>
      </c>
      <c r="T8" s="110" t="s">
        <v>6</v>
      </c>
      <c r="U8" s="110" t="s">
        <v>2</v>
      </c>
      <c r="V8" s="110" t="s">
        <v>520</v>
      </c>
    </row>
    <row r="9" spans="1:22" x14ac:dyDescent="0.2">
      <c r="A9" s="19">
        <v>1</v>
      </c>
      <c r="B9" s="19">
        <f>A9+1</f>
        <v>2</v>
      </c>
      <c r="C9" s="19">
        <f>B9+1</f>
        <v>3</v>
      </c>
      <c r="D9" s="19">
        <f>C9+1</f>
        <v>4</v>
      </c>
      <c r="E9" s="19">
        <f t="shared" ref="E9:Q9" si="1">D9+1</f>
        <v>5</v>
      </c>
      <c r="F9" s="19">
        <f t="shared" si="1"/>
        <v>6</v>
      </c>
      <c r="G9" s="19">
        <f t="shared" si="1"/>
        <v>7</v>
      </c>
      <c r="H9" s="19">
        <f t="shared" si="1"/>
        <v>8</v>
      </c>
      <c r="I9" s="19">
        <f t="shared" si="1"/>
        <v>9</v>
      </c>
      <c r="J9" s="19">
        <f t="shared" si="1"/>
        <v>10</v>
      </c>
      <c r="K9" s="19">
        <f t="shared" si="1"/>
        <v>11</v>
      </c>
      <c r="L9" s="19">
        <f t="shared" si="1"/>
        <v>12</v>
      </c>
      <c r="M9" s="19">
        <f t="shared" si="1"/>
        <v>13</v>
      </c>
      <c r="N9" s="19">
        <f t="shared" si="1"/>
        <v>14</v>
      </c>
      <c r="O9" s="19">
        <f t="shared" si="1"/>
        <v>15</v>
      </c>
      <c r="P9" s="19">
        <f t="shared" si="1"/>
        <v>16</v>
      </c>
      <c r="Q9" s="19">
        <f t="shared" si="1"/>
        <v>17</v>
      </c>
      <c r="S9" s="91" t="s">
        <v>453</v>
      </c>
      <c r="T9" s="91" t="s">
        <v>454</v>
      </c>
      <c r="U9" s="91" t="s">
        <v>455</v>
      </c>
      <c r="V9" s="91" t="s">
        <v>521</v>
      </c>
    </row>
    <row r="10" spans="1:22" ht="78.75" x14ac:dyDescent="0.2">
      <c r="A10" s="15"/>
      <c r="B10" s="15" t="s">
        <v>489</v>
      </c>
      <c r="C10" s="18" t="s">
        <v>61</v>
      </c>
      <c r="D10" s="18" t="s">
        <v>39</v>
      </c>
      <c r="E10" s="18" t="s">
        <v>39</v>
      </c>
      <c r="F10" s="15" t="s">
        <v>23</v>
      </c>
      <c r="G10" s="15" t="s">
        <v>417</v>
      </c>
      <c r="H10" s="15" t="s">
        <v>420</v>
      </c>
      <c r="I10" s="14" t="s">
        <v>451</v>
      </c>
      <c r="J10" s="14" t="s">
        <v>450</v>
      </c>
      <c r="K10" s="18" t="s">
        <v>39</v>
      </c>
      <c r="L10" s="18" t="s">
        <v>39</v>
      </c>
      <c r="M10" s="18" t="s">
        <v>39</v>
      </c>
      <c r="N10" s="16" t="s">
        <v>24</v>
      </c>
      <c r="O10" s="16" t="s">
        <v>34</v>
      </c>
      <c r="P10" s="16" t="s">
        <v>510</v>
      </c>
      <c r="Q10" s="18" t="s">
        <v>460</v>
      </c>
      <c r="S10" s="92" t="s">
        <v>326</v>
      </c>
      <c r="T10" s="92" t="s">
        <v>326</v>
      </c>
      <c r="U10" s="92" t="s">
        <v>326</v>
      </c>
      <c r="V10" s="92" t="s">
        <v>326</v>
      </c>
    </row>
    <row r="11" spans="1:22" ht="24" x14ac:dyDescent="0.2">
      <c r="A11" s="3">
        <v>1</v>
      </c>
      <c r="B11" s="139"/>
      <c r="C11" s="132">
        <f>tabela_informacyjna_dla_JST!$E$8</f>
        <v>0</v>
      </c>
      <c r="D11" s="59" t="str">
        <f>IFERROR(CONCATENATE($U11,"_ZSO"),"brak nazwy gminy")</f>
        <v>brak nazwy gminy</v>
      </c>
      <c r="E11" s="25" t="str">
        <f>IFERROR(VLOOKUP($D11,kat_zadania[],katalogi!$N$1-katalogi!$L$1,FALSE),"brak nazwy gminy")</f>
        <v>brak nazwy gminy</v>
      </c>
      <c r="F11" s="34"/>
      <c r="G11" s="34"/>
      <c r="H11" s="34"/>
      <c r="I11" s="136"/>
      <c r="J11" s="136"/>
      <c r="K11" s="90" t="str">
        <f>IFERROR(VLOOKUP($S11,kat_wsk_efektu[],wskaźniki_efektu!C$1,FALSE)*$I11/1000,"")</f>
        <v/>
      </c>
      <c r="L11" s="90" t="str">
        <f>IFERROR(VLOOKUP($S11,kat_wsk_efektu[],wskaźniki_efektu!D$1,FALSE)*$I11/1000,"")</f>
        <v/>
      </c>
      <c r="M11" s="90" t="str">
        <f>IFERROR(VLOOKUP($S11,kat_wsk_efektu[],wskaźniki_efektu!E$1,FALSE)*$I11/1000,"")</f>
        <v/>
      </c>
      <c r="N11" s="137"/>
      <c r="O11" s="137"/>
      <c r="P11" s="138"/>
      <c r="Q11" s="121" t="str">
        <f>IFERROR(VLOOKUP($T11,gminy_26[],(katalog_gmin_PL26!$I$1+$F$2-2020),FALSE),"brak nazwy gminy w kolumnie 2")</f>
        <v>brak nazwy gminy w kolumnie 2</v>
      </c>
      <c r="S11" s="93" t="str">
        <f>IFERROR(VLOOKUP($H11,wskaźniki_efektu!$B$21:$C$34,wskaźniki_efektu!$C$1-wskaźniki_efektu!$A$1,FALSE),"")</f>
        <v/>
      </c>
      <c r="T11" s="109" t="e">
        <f>VLOOKUP($B11,gminy_26[[nazwa gminy]:[kod gminy2]],2,FALSE)</f>
        <v>#N/A</v>
      </c>
      <c r="U11" s="109" t="e">
        <f>VLOOKUP($T11,gminy_26[],katalog_gmin_PL26!$F$1,FALSE)</f>
        <v>#N/A</v>
      </c>
      <c r="V11" s="1" t="e" cm="1">
        <f t="array" aca="1" ref="V11:V18" ca="1">_xlfn._xlws.SORT(_xlfn._xlws.FILTER(gminy_26[nazwa gminy],gminy_26[nazwa powiatu]=tabela_informacyjna_dla_JST!$E$8))</f>
        <v>#NAME?</v>
      </c>
    </row>
    <row r="12" spans="1:22" ht="24" x14ac:dyDescent="0.2">
      <c r="A12" s="3">
        <v>2</v>
      </c>
      <c r="B12" s="139"/>
      <c r="C12" s="132">
        <f>tabela_informacyjna_dla_JST!$E$8</f>
        <v>0</v>
      </c>
      <c r="D12" s="59" t="str">
        <f t="shared" ref="D12:D20" si="2">IFERROR(CONCATENATE($U12,"_ZSO"),"brak nazwy gminy")</f>
        <v>brak nazwy gminy</v>
      </c>
      <c r="E12" s="25" t="str">
        <f>IFERROR(VLOOKUP($D12,kat_zadania[],katalogi!$N$1-katalogi!$L$1,FALSE),"brak nazwy gminy")</f>
        <v>brak nazwy gminy</v>
      </c>
      <c r="F12" s="34"/>
      <c r="G12" s="34"/>
      <c r="H12" s="34"/>
      <c r="I12" s="136"/>
      <c r="J12" s="136"/>
      <c r="K12" s="90" t="str">
        <f>IFERROR(VLOOKUP($S12,kat_wsk_efektu[],wskaźniki_efektu!C$1,FALSE)*$I12/1000,"")</f>
        <v/>
      </c>
      <c r="L12" s="90" t="str">
        <f>IFERROR(VLOOKUP($S12,kat_wsk_efektu[],wskaźniki_efektu!D$1,FALSE)*$I12/1000,"")</f>
        <v/>
      </c>
      <c r="M12" s="90" t="str">
        <f>IFERROR(VLOOKUP($S12,kat_wsk_efektu[],wskaźniki_efektu!E$1,FALSE)*$I12/1000,"")</f>
        <v/>
      </c>
      <c r="N12" s="137"/>
      <c r="O12" s="137"/>
      <c r="P12" s="138"/>
      <c r="Q12" s="121" t="str">
        <f>IFERROR(VLOOKUP($T12,gminy_26[],(katalog_gmin_PL26!$I$1+$F$2-2020),FALSE),"brak nazwy gminy w kolumnie 2")</f>
        <v>brak nazwy gminy w kolumnie 2</v>
      </c>
      <c r="S12" s="93" t="str">
        <f>IFERROR(VLOOKUP($H12,wskaźniki_efektu!$B$21:$C$34,wskaźniki_efektu!$C$1-wskaźniki_efektu!$A$1,FALSE),"")</f>
        <v/>
      </c>
      <c r="T12" s="109" t="e">
        <f>VLOOKUP($B12,gminy_26[[nazwa gminy]:[kod gminy2]],2,FALSE)</f>
        <v>#N/A</v>
      </c>
      <c r="U12" s="109" t="e">
        <f>VLOOKUP($T12,gminy_26[],katalog_gmin_PL26!$F$1,FALSE)</f>
        <v>#N/A</v>
      </c>
      <c r="V12" s="1" t="e">
        <f ca="1"/>
        <v>#NAME?</v>
      </c>
    </row>
    <row r="13" spans="1:22" ht="24" x14ac:dyDescent="0.2">
      <c r="A13" s="3">
        <v>3</v>
      </c>
      <c r="B13" s="139"/>
      <c r="C13" s="132">
        <f>tabela_informacyjna_dla_JST!$E$8</f>
        <v>0</v>
      </c>
      <c r="D13" s="59" t="str">
        <f t="shared" si="2"/>
        <v>brak nazwy gminy</v>
      </c>
      <c r="E13" s="25" t="str">
        <f>IFERROR(VLOOKUP($D13,kat_zadania[],katalogi!$N$1-katalogi!$L$1,FALSE),"brak nazwy gminy")</f>
        <v>brak nazwy gminy</v>
      </c>
      <c r="F13" s="34"/>
      <c r="G13" s="34"/>
      <c r="H13" s="34"/>
      <c r="I13" s="136"/>
      <c r="J13" s="136"/>
      <c r="K13" s="90" t="str">
        <f>IFERROR(VLOOKUP($S13,kat_wsk_efektu[],wskaźniki_efektu!C$1,FALSE)*$I13/1000,"")</f>
        <v/>
      </c>
      <c r="L13" s="90" t="str">
        <f>IFERROR(VLOOKUP($S13,kat_wsk_efektu[],wskaźniki_efektu!D$1,FALSE)*$I13/1000,"")</f>
        <v/>
      </c>
      <c r="M13" s="90" t="str">
        <f>IFERROR(VLOOKUP($S13,kat_wsk_efektu[],wskaźniki_efektu!E$1,FALSE)*$I13/1000,"")</f>
        <v/>
      </c>
      <c r="N13" s="137"/>
      <c r="O13" s="137"/>
      <c r="P13" s="138"/>
      <c r="Q13" s="121" t="str">
        <f>IFERROR(VLOOKUP($T13,gminy_26[],(katalog_gmin_PL26!$I$1+$F$2-2020),FALSE),"brak nazwy gminy w kolumnie 2")</f>
        <v>brak nazwy gminy w kolumnie 2</v>
      </c>
      <c r="S13" s="93" t="str">
        <f>IFERROR(VLOOKUP($H13,wskaźniki_efektu!$B$21:$C$34,wskaźniki_efektu!$C$1-wskaźniki_efektu!$A$1,FALSE),"")</f>
        <v/>
      </c>
      <c r="T13" s="109" t="e">
        <f>VLOOKUP($B13,gminy_26[[nazwa gminy]:[kod gminy2]],2,FALSE)</f>
        <v>#N/A</v>
      </c>
      <c r="U13" s="109" t="e">
        <f>VLOOKUP($T13,gminy_26[],katalog_gmin_PL26!$F$1,FALSE)</f>
        <v>#N/A</v>
      </c>
      <c r="V13" s="1" t="e">
        <f ca="1"/>
        <v>#NAME?</v>
      </c>
    </row>
    <row r="14" spans="1:22" ht="24" x14ac:dyDescent="0.2">
      <c r="A14" s="3">
        <v>4</v>
      </c>
      <c r="B14" s="139"/>
      <c r="C14" s="132">
        <f>tabela_informacyjna_dla_JST!$E$8</f>
        <v>0</v>
      </c>
      <c r="D14" s="59" t="str">
        <f t="shared" si="2"/>
        <v>brak nazwy gminy</v>
      </c>
      <c r="E14" s="25" t="str">
        <f>IFERROR(VLOOKUP($D14,kat_zadania[],katalogi!$N$1-katalogi!$L$1,FALSE),"brak nazwy gminy")</f>
        <v>brak nazwy gminy</v>
      </c>
      <c r="F14" s="34"/>
      <c r="G14" s="34"/>
      <c r="H14" s="34"/>
      <c r="I14" s="136"/>
      <c r="J14" s="136"/>
      <c r="K14" s="90" t="str">
        <f>IFERROR(VLOOKUP($S14,kat_wsk_efektu[],wskaźniki_efektu!C$1,FALSE)*$I14/1000,"")</f>
        <v/>
      </c>
      <c r="L14" s="90" t="str">
        <f>IFERROR(VLOOKUP($S14,kat_wsk_efektu[],wskaźniki_efektu!D$1,FALSE)*$I14/1000,"")</f>
        <v/>
      </c>
      <c r="M14" s="90" t="str">
        <f>IFERROR(VLOOKUP($S14,kat_wsk_efektu[],wskaźniki_efektu!E$1,FALSE)*$I14/1000,"")</f>
        <v/>
      </c>
      <c r="N14" s="137"/>
      <c r="O14" s="137"/>
      <c r="P14" s="138"/>
      <c r="Q14" s="121" t="str">
        <f>IFERROR(VLOOKUP($T14,gminy_26[],(katalog_gmin_PL26!$I$1+$F$2-2020),FALSE),"brak nazwy gminy w kolumnie 2")</f>
        <v>brak nazwy gminy w kolumnie 2</v>
      </c>
      <c r="S14" s="93" t="str">
        <f>IFERROR(VLOOKUP($H14,wskaźniki_efektu!$B$21:$C$34,wskaźniki_efektu!$C$1-wskaźniki_efektu!$A$1,FALSE),"")</f>
        <v/>
      </c>
      <c r="T14" s="109" t="e">
        <f>VLOOKUP($B14,gminy_26[[nazwa gminy]:[kod gminy2]],2,FALSE)</f>
        <v>#N/A</v>
      </c>
      <c r="U14" s="109" t="e">
        <f>VLOOKUP($T14,gminy_26[],katalog_gmin_PL26!$F$1,FALSE)</f>
        <v>#N/A</v>
      </c>
      <c r="V14" s="1" t="e">
        <f ca="1"/>
        <v>#NAME?</v>
      </c>
    </row>
    <row r="15" spans="1:22" ht="24" x14ac:dyDescent="0.2">
      <c r="A15" s="3">
        <v>5</v>
      </c>
      <c r="B15" s="139"/>
      <c r="C15" s="132">
        <f>tabela_informacyjna_dla_JST!$E$8</f>
        <v>0</v>
      </c>
      <c r="D15" s="59" t="str">
        <f t="shared" si="2"/>
        <v>brak nazwy gminy</v>
      </c>
      <c r="E15" s="25" t="str">
        <f>IFERROR(VLOOKUP($D15,kat_zadania[],katalogi!$N$1-katalogi!$L$1,FALSE),"brak nazwy gminy")</f>
        <v>brak nazwy gminy</v>
      </c>
      <c r="F15" s="34"/>
      <c r="G15" s="34"/>
      <c r="H15" s="34"/>
      <c r="I15" s="136"/>
      <c r="J15" s="136"/>
      <c r="K15" s="90" t="str">
        <f>IFERROR(VLOOKUP($S15,kat_wsk_efektu[],wskaźniki_efektu!C$1,FALSE)*$I15/1000,"")</f>
        <v/>
      </c>
      <c r="L15" s="90" t="str">
        <f>IFERROR(VLOOKUP($S15,kat_wsk_efektu[],wskaźniki_efektu!D$1,FALSE)*$I15/1000,"")</f>
        <v/>
      </c>
      <c r="M15" s="90" t="str">
        <f>IFERROR(VLOOKUP($S15,kat_wsk_efektu[],wskaźniki_efektu!E$1,FALSE)*$I15/1000,"")</f>
        <v/>
      </c>
      <c r="N15" s="137"/>
      <c r="O15" s="137"/>
      <c r="P15" s="138"/>
      <c r="Q15" s="121" t="str">
        <f>IFERROR(VLOOKUP($T15,gminy_26[],(katalog_gmin_PL26!$I$1+$F$2-2020),FALSE),"brak nazwy gminy w kolumnie 2")</f>
        <v>brak nazwy gminy w kolumnie 2</v>
      </c>
      <c r="S15" s="93" t="str">
        <f>IFERROR(VLOOKUP($H15,wskaźniki_efektu!$B$21:$C$34,wskaźniki_efektu!$C$1-wskaźniki_efektu!$A$1,FALSE),"")</f>
        <v/>
      </c>
      <c r="T15" s="109" t="e">
        <f>VLOOKUP($B15,gminy_26[[nazwa gminy]:[kod gminy2]],2,FALSE)</f>
        <v>#N/A</v>
      </c>
      <c r="U15" s="109" t="e">
        <f>VLOOKUP($T15,gminy_26[],katalog_gmin_PL26!$F$1,FALSE)</f>
        <v>#N/A</v>
      </c>
      <c r="V15" s="1" t="e">
        <f ca="1"/>
        <v>#NAME?</v>
      </c>
    </row>
    <row r="16" spans="1:22" ht="24" x14ac:dyDescent="0.2">
      <c r="A16" s="3">
        <v>6</v>
      </c>
      <c r="B16" s="139"/>
      <c r="C16" s="132">
        <f>tabela_informacyjna_dla_JST!$E$8</f>
        <v>0</v>
      </c>
      <c r="D16" s="59" t="str">
        <f t="shared" si="2"/>
        <v>brak nazwy gminy</v>
      </c>
      <c r="E16" s="25" t="str">
        <f>IFERROR(VLOOKUP($D16,kat_zadania[],katalogi!$N$1-katalogi!$L$1,FALSE),"brak nazwy gminy")</f>
        <v>brak nazwy gminy</v>
      </c>
      <c r="F16" s="34"/>
      <c r="G16" s="34"/>
      <c r="H16" s="34"/>
      <c r="I16" s="136"/>
      <c r="J16" s="136"/>
      <c r="K16" s="90" t="str">
        <f>IFERROR(VLOOKUP($S16,kat_wsk_efektu[],wskaźniki_efektu!C$1,FALSE)*$I16/1000,"")</f>
        <v/>
      </c>
      <c r="L16" s="90" t="str">
        <f>IFERROR(VLOOKUP($S16,kat_wsk_efektu[],wskaźniki_efektu!D$1,FALSE)*$I16/1000,"")</f>
        <v/>
      </c>
      <c r="M16" s="90" t="str">
        <f>IFERROR(VLOOKUP($S16,kat_wsk_efektu[],wskaźniki_efektu!E$1,FALSE)*$I16/1000,"")</f>
        <v/>
      </c>
      <c r="N16" s="137"/>
      <c r="O16" s="137"/>
      <c r="P16" s="138"/>
      <c r="Q16" s="121" t="str">
        <f>IFERROR(VLOOKUP($T16,gminy_26[],(katalog_gmin_PL26!$I$1+$F$2-2020),FALSE),"brak nazwy gminy w kolumnie 2")</f>
        <v>brak nazwy gminy w kolumnie 2</v>
      </c>
      <c r="S16" s="93" t="str">
        <f>IFERROR(VLOOKUP($H16,wskaźniki_efektu!$B$21:$C$34,wskaźniki_efektu!$C$1-wskaźniki_efektu!$A$1,FALSE),"")</f>
        <v/>
      </c>
      <c r="T16" s="109" t="e">
        <f>VLOOKUP($B16,gminy_26[[nazwa gminy]:[kod gminy2]],2,FALSE)</f>
        <v>#N/A</v>
      </c>
      <c r="U16" s="109" t="e">
        <f>VLOOKUP($T16,gminy_26[],katalog_gmin_PL26!$F$1,FALSE)</f>
        <v>#N/A</v>
      </c>
      <c r="V16" s="1" t="e">
        <f ca="1"/>
        <v>#NAME?</v>
      </c>
    </row>
    <row r="17" spans="1:22" ht="24" x14ac:dyDescent="0.2">
      <c r="A17" s="3">
        <v>7</v>
      </c>
      <c r="B17" s="139"/>
      <c r="C17" s="132">
        <f>tabela_informacyjna_dla_JST!$E$8</f>
        <v>0</v>
      </c>
      <c r="D17" s="59" t="str">
        <f t="shared" si="2"/>
        <v>brak nazwy gminy</v>
      </c>
      <c r="E17" s="25" t="str">
        <f>IFERROR(VLOOKUP($D17,kat_zadania[],katalogi!$N$1-katalogi!$L$1,FALSE),"brak nazwy gminy")</f>
        <v>brak nazwy gminy</v>
      </c>
      <c r="F17" s="34"/>
      <c r="G17" s="34"/>
      <c r="H17" s="34"/>
      <c r="I17" s="136"/>
      <c r="J17" s="136"/>
      <c r="K17" s="90" t="str">
        <f>IFERROR(VLOOKUP($S17,kat_wsk_efektu[],wskaźniki_efektu!C$1,FALSE)*$I17/1000,"")</f>
        <v/>
      </c>
      <c r="L17" s="90" t="str">
        <f>IFERROR(VLOOKUP($S17,kat_wsk_efektu[],wskaźniki_efektu!D$1,FALSE)*$I17/1000,"")</f>
        <v/>
      </c>
      <c r="M17" s="90" t="str">
        <f>IFERROR(VLOOKUP($S17,kat_wsk_efektu[],wskaźniki_efektu!E$1,FALSE)*$I17/1000,"")</f>
        <v/>
      </c>
      <c r="N17" s="137"/>
      <c r="O17" s="137"/>
      <c r="P17" s="138"/>
      <c r="Q17" s="121" t="str">
        <f>IFERROR(VLOOKUP($T17,gminy_26[],(katalog_gmin_PL26!$I$1+$F$2-2020),FALSE),"brak nazwy gminy w kolumnie 2")</f>
        <v>brak nazwy gminy w kolumnie 2</v>
      </c>
      <c r="S17" s="93" t="str">
        <f>IFERROR(VLOOKUP($H17,wskaźniki_efektu!$B$21:$C$34,wskaźniki_efektu!$C$1-wskaźniki_efektu!$A$1,FALSE),"")</f>
        <v/>
      </c>
      <c r="T17" s="109" t="e">
        <f>VLOOKUP($B17,gminy_26[[nazwa gminy]:[kod gminy2]],2,FALSE)</f>
        <v>#N/A</v>
      </c>
      <c r="U17" s="109" t="e">
        <f>VLOOKUP($T17,gminy_26[],katalog_gmin_PL26!$F$1,FALSE)</f>
        <v>#N/A</v>
      </c>
      <c r="V17" s="1" t="e">
        <f ca="1"/>
        <v>#NAME?</v>
      </c>
    </row>
    <row r="18" spans="1:22" ht="24" x14ac:dyDescent="0.2">
      <c r="A18" s="3">
        <v>8</v>
      </c>
      <c r="B18" s="139"/>
      <c r="C18" s="132">
        <f>tabela_informacyjna_dla_JST!$E$8</f>
        <v>0</v>
      </c>
      <c r="D18" s="59" t="str">
        <f t="shared" si="2"/>
        <v>brak nazwy gminy</v>
      </c>
      <c r="E18" s="25" t="str">
        <f>IFERROR(VLOOKUP($D18,kat_zadania[],katalogi!$N$1-katalogi!$L$1,FALSE),"brak nazwy gminy")</f>
        <v>brak nazwy gminy</v>
      </c>
      <c r="F18" s="34"/>
      <c r="G18" s="34"/>
      <c r="H18" s="34"/>
      <c r="I18" s="136"/>
      <c r="J18" s="136"/>
      <c r="K18" s="90" t="str">
        <f>IFERROR(VLOOKUP($S18,kat_wsk_efektu[],wskaźniki_efektu!C$1,FALSE)*$I18/1000,"")</f>
        <v/>
      </c>
      <c r="L18" s="90" t="str">
        <f>IFERROR(VLOOKUP($S18,kat_wsk_efektu[],wskaźniki_efektu!D$1,FALSE)*$I18/1000,"")</f>
        <v/>
      </c>
      <c r="M18" s="90" t="str">
        <f>IFERROR(VLOOKUP($S18,kat_wsk_efektu[],wskaźniki_efektu!E$1,FALSE)*$I18/1000,"")</f>
        <v/>
      </c>
      <c r="N18" s="137"/>
      <c r="O18" s="137"/>
      <c r="P18" s="138"/>
      <c r="Q18" s="121" t="str">
        <f>IFERROR(VLOOKUP($T18,gminy_26[],(katalog_gmin_PL26!$I$1+$F$2-2020),FALSE),"brak nazwy gminy w kolumnie 2")</f>
        <v>brak nazwy gminy w kolumnie 2</v>
      </c>
      <c r="S18" s="93" t="str">
        <f>IFERROR(VLOOKUP($H18,wskaźniki_efektu!$B$21:$C$34,wskaźniki_efektu!$C$1-wskaźniki_efektu!$A$1,FALSE),"")</f>
        <v/>
      </c>
      <c r="T18" s="109" t="e">
        <f>VLOOKUP($B18,gminy_26[[nazwa gminy]:[kod gminy2]],2,FALSE)</f>
        <v>#N/A</v>
      </c>
      <c r="U18" s="109" t="e">
        <f>VLOOKUP($T18,gminy_26[],katalog_gmin_PL26!$F$1,FALSE)</f>
        <v>#N/A</v>
      </c>
      <c r="V18" s="1" t="e">
        <f ca="1"/>
        <v>#NAME?</v>
      </c>
    </row>
    <row r="19" spans="1:22" ht="24" x14ac:dyDescent="0.2">
      <c r="A19" s="3">
        <v>9</v>
      </c>
      <c r="B19" s="139"/>
      <c r="C19" s="132">
        <f>tabela_informacyjna_dla_JST!$E$8</f>
        <v>0</v>
      </c>
      <c r="D19" s="59" t="str">
        <f t="shared" si="2"/>
        <v>brak nazwy gminy</v>
      </c>
      <c r="E19" s="25" t="str">
        <f>IFERROR(VLOOKUP($D19,kat_zadania[],katalogi!$N$1-katalogi!$L$1,FALSE),"brak nazwy gminy")</f>
        <v>brak nazwy gminy</v>
      </c>
      <c r="F19" s="34"/>
      <c r="G19" s="34"/>
      <c r="H19" s="34"/>
      <c r="I19" s="136"/>
      <c r="J19" s="136"/>
      <c r="K19" s="90" t="str">
        <f>IFERROR(VLOOKUP($S19,kat_wsk_efektu[],wskaźniki_efektu!C$1,FALSE)*$I19/1000,"")</f>
        <v/>
      </c>
      <c r="L19" s="90" t="str">
        <f>IFERROR(VLOOKUP($S19,kat_wsk_efektu[],wskaźniki_efektu!D$1,FALSE)*$I19/1000,"")</f>
        <v/>
      </c>
      <c r="M19" s="90" t="str">
        <f>IFERROR(VLOOKUP($S19,kat_wsk_efektu[],wskaźniki_efektu!E$1,FALSE)*$I19/1000,"")</f>
        <v/>
      </c>
      <c r="N19" s="137"/>
      <c r="O19" s="137"/>
      <c r="P19" s="138"/>
      <c r="Q19" s="121" t="str">
        <f>IFERROR(VLOOKUP($T19,gminy_26[],(katalog_gmin_PL26!$I$1+$F$2-2020),FALSE),"brak nazwy gminy w kolumnie 2")</f>
        <v>brak nazwy gminy w kolumnie 2</v>
      </c>
      <c r="S19" s="93" t="str">
        <f>IFERROR(VLOOKUP($H19,wskaźniki_efektu!$B$21:$C$34,wskaźniki_efektu!$C$1-wskaźniki_efektu!$A$1,FALSE),"")</f>
        <v/>
      </c>
      <c r="T19" s="109" t="e">
        <f>VLOOKUP($B19,gminy_26[[nazwa gminy]:[kod gminy2]],2,FALSE)</f>
        <v>#N/A</v>
      </c>
      <c r="U19" s="109" t="e">
        <f>VLOOKUP($T19,gminy_26[],katalog_gmin_PL26!$F$1,FALSE)</f>
        <v>#N/A</v>
      </c>
    </row>
    <row r="20" spans="1:22" ht="24" x14ac:dyDescent="0.2">
      <c r="A20" s="3">
        <v>10</v>
      </c>
      <c r="B20" s="139"/>
      <c r="C20" s="132">
        <f>tabela_informacyjna_dla_JST!$E$8</f>
        <v>0</v>
      </c>
      <c r="D20" s="59" t="str">
        <f t="shared" si="2"/>
        <v>brak nazwy gminy</v>
      </c>
      <c r="E20" s="25" t="str">
        <f>IFERROR(VLOOKUP($D20,kat_zadania[],katalogi!$N$1-katalogi!$L$1,FALSE),"brak nazwy gminy")</f>
        <v>brak nazwy gminy</v>
      </c>
      <c r="F20" s="34"/>
      <c r="G20" s="34"/>
      <c r="H20" s="34"/>
      <c r="I20" s="136"/>
      <c r="J20" s="136"/>
      <c r="K20" s="90" t="str">
        <f>IFERROR(VLOOKUP($S20,kat_wsk_efektu[],wskaźniki_efektu!C$1,FALSE)*$I20/1000,"")</f>
        <v/>
      </c>
      <c r="L20" s="90" t="str">
        <f>IFERROR(VLOOKUP($S20,kat_wsk_efektu[],wskaźniki_efektu!D$1,FALSE)*$I20/1000,"")</f>
        <v/>
      </c>
      <c r="M20" s="90" t="str">
        <f>IFERROR(VLOOKUP($S20,kat_wsk_efektu[],wskaźniki_efektu!E$1,FALSE)*$I20/1000,"")</f>
        <v/>
      </c>
      <c r="N20" s="137"/>
      <c r="O20" s="137"/>
      <c r="P20" s="138"/>
      <c r="Q20" s="121" t="str">
        <f>IFERROR(VLOOKUP($T20,gminy_26[],(katalog_gmin_PL26!$I$1+$F$2-2020),FALSE),"brak nazwy gminy w kolumnie 2")</f>
        <v>brak nazwy gminy w kolumnie 2</v>
      </c>
      <c r="S20" s="93" t="str">
        <f>IFERROR(VLOOKUP($H20,wskaźniki_efektu!$B$21:$C$34,wskaźniki_efektu!$C$1-wskaźniki_efektu!$A$1,FALSE),"")</f>
        <v/>
      </c>
      <c r="T20" s="109" t="e">
        <f>VLOOKUP($B20,gminy_26[[nazwa gminy]:[kod gminy2]],2,FALSE)</f>
        <v>#N/A</v>
      </c>
      <c r="U20" s="109" t="e">
        <f>VLOOKUP($T20,gminy_26[],katalog_gmin_PL26!$F$1,FALSE)</f>
        <v>#N/A</v>
      </c>
    </row>
  </sheetData>
  <sheetProtection formatCells="0" formatRows="0" sort="0" autoFilter="0" pivotTables="0"/>
  <mergeCells count="14">
    <mergeCell ref="N7:N8"/>
    <mergeCell ref="O7:O8"/>
    <mergeCell ref="P7:P8"/>
    <mergeCell ref="I4:O4"/>
    <mergeCell ref="S7:V7"/>
    <mergeCell ref="F7:F8"/>
    <mergeCell ref="G7:G8"/>
    <mergeCell ref="H7:J7"/>
    <mergeCell ref="K7:M7"/>
    <mergeCell ref="A7:A8"/>
    <mergeCell ref="B7:B8"/>
    <mergeCell ref="C7:C8"/>
    <mergeCell ref="D7:D8"/>
    <mergeCell ref="E7:E8"/>
  </mergeCells>
  <conditionalFormatting sqref="K11:M20">
    <cfRule type="expression" dxfId="8" priority="2">
      <formula>$I11=0</formula>
    </cfRule>
  </conditionalFormatting>
  <conditionalFormatting sqref="C11:C20">
    <cfRule type="cellIs" dxfId="7" priority="1" operator="equal">
      <formula>0</formula>
    </cfRule>
  </conditionalFormatting>
  <dataValidations count="5">
    <dataValidation operator="greaterThanOrEqual" allowBlank="1" showInputMessage="1" showErrorMessage="1" error="Proszę podać wartość liczbową!" sqref="K11:M20 G11:G20"/>
    <dataValidation operator="greaterThanOrEqual" allowBlank="1" showDropDown="1" showInputMessage="1" showErrorMessage="1" error="Proszę podać wartość liczbową!" sqref="S11:S20"/>
    <dataValidation type="list" operator="greaterThanOrEqual" allowBlank="1" showInputMessage="1" showErrorMessage="1" error="Proszę podać wartość liczbową!" sqref="H11:H20">
      <formula1>monit_ZSO</formula1>
    </dataValidation>
    <dataValidation type="decimal" operator="greaterThanOrEqual" allowBlank="1" showInputMessage="1" showErrorMessage="1" error="Proszę podać wartość liczbową!" sqref="N11:O20">
      <formula1>0</formula1>
    </dataValidation>
    <dataValidation type="whole" operator="greaterThanOrEqual" allowBlank="1" showInputMessage="1" showErrorMessage="1" error="Proszę podać wartość liczbową!" sqref="I11:J20">
      <formula1>0</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INDIRECT(tabela_informacyjna_dla_JST!$E$8)</xm:f>
          </x14:formula1>
          <xm:sqref>B11:B20</xm:sqref>
        </x14:dataValidation>
        <x14:dataValidation type="list" allowBlank="1" showInputMessage="1" showErrorMessage="1">
          <x14:formula1>
            <xm:f>katalog_gmin_PL26!$B$4:$B$105</xm:f>
          </x14:formula1>
          <xm:sqref>B22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00B050"/>
  </sheetPr>
  <dimension ref="A1:AE18"/>
  <sheetViews>
    <sheetView zoomScale="90" zoomScaleNormal="90" workbookViewId="0">
      <pane xSplit="3" ySplit="8" topLeftCell="D9" activePane="bottomRight" state="frozen"/>
      <selection pane="topRight" activeCell="D1" sqref="D1"/>
      <selection pane="bottomLeft" activeCell="A8" sqref="A8"/>
      <selection pane="bottomRight" activeCell="G14" sqref="G14"/>
    </sheetView>
  </sheetViews>
  <sheetFormatPr defaultColWidth="9.140625" defaultRowHeight="12" x14ac:dyDescent="0.2"/>
  <cols>
    <col min="1" max="1" width="4.42578125" style="1" customWidth="1"/>
    <col min="2" max="2" width="12.140625" style="1" customWidth="1"/>
    <col min="3" max="3" width="13.140625" style="1" customWidth="1"/>
    <col min="4" max="4" width="37.7109375" style="1" customWidth="1"/>
    <col min="5" max="5" width="29.85546875" style="1" customWidth="1"/>
    <col min="6" max="10" width="15.140625" style="1" customWidth="1"/>
    <col min="11" max="11" width="12.85546875" style="1" customWidth="1"/>
    <col min="12" max="12" width="23" style="1" customWidth="1"/>
    <col min="13" max="13" width="41.28515625" style="1" customWidth="1"/>
    <col min="14" max="30" width="9.140625" style="1"/>
    <col min="31" max="31" width="7" style="1" hidden="1" customWidth="1"/>
    <col min="32" max="16384" width="9.140625" style="1"/>
  </cols>
  <sheetData>
    <row r="1" spans="1:31" ht="15.75" thickBot="1" x14ac:dyDescent="0.25">
      <c r="A1" s="131" t="s">
        <v>486</v>
      </c>
    </row>
    <row r="2" spans="1:31" ht="16.5" thickBot="1" x14ac:dyDescent="0.25">
      <c r="D2" s="60" t="s">
        <v>335</v>
      </c>
      <c r="E2" s="61">
        <f>IFERROR(VLOOKUP(tabela_informacyjna_dla_JST!$D$9,gminy_26[],katalog_gmin_PL26!$P$1,FALSE),"brak nazwy gminy")</f>
        <v>1</v>
      </c>
      <c r="F2" s="62"/>
      <c r="G2" s="62"/>
      <c r="H2" s="62"/>
      <c r="I2" s="62"/>
      <c r="J2" s="62"/>
      <c r="K2" s="62"/>
    </row>
    <row r="3" spans="1:31" ht="15" x14ac:dyDescent="0.2">
      <c r="F3" s="178" t="s">
        <v>345</v>
      </c>
      <c r="G3" s="178"/>
      <c r="H3" s="178"/>
      <c r="I3" s="178"/>
      <c r="J3" s="178"/>
      <c r="K3" s="178"/>
      <c r="L3" s="178"/>
    </row>
    <row r="4" spans="1:31" ht="15" x14ac:dyDescent="0.2">
      <c r="A4" s="12" t="s">
        <v>334</v>
      </c>
      <c r="D4" s="13"/>
      <c r="E4" s="13"/>
      <c r="F4" s="63">
        <f t="shared" ref="F4:J4" si="0">SUM(F9:F18)</f>
        <v>0</v>
      </c>
      <c r="G4" s="63">
        <f t="shared" si="0"/>
        <v>0</v>
      </c>
      <c r="H4" s="63">
        <f t="shared" si="0"/>
        <v>0</v>
      </c>
      <c r="I4" s="63">
        <f t="shared" si="0"/>
        <v>0</v>
      </c>
      <c r="J4" s="63">
        <f t="shared" si="0"/>
        <v>4000</v>
      </c>
      <c r="K4" s="64">
        <f>SUM(K9:K18)</f>
        <v>0</v>
      </c>
      <c r="L4" s="64">
        <f>SUM(L9:L18)</f>
        <v>0</v>
      </c>
      <c r="M4" s="13"/>
    </row>
    <row r="5" spans="1:31" ht="36" x14ac:dyDescent="0.2">
      <c r="A5" s="166" t="s">
        <v>7</v>
      </c>
      <c r="B5" s="166" t="s">
        <v>31</v>
      </c>
      <c r="C5" s="166" t="s">
        <v>25</v>
      </c>
      <c r="D5" s="166" t="s">
        <v>26</v>
      </c>
      <c r="E5" s="166" t="s">
        <v>27</v>
      </c>
      <c r="F5" s="174" t="s">
        <v>346</v>
      </c>
      <c r="G5" s="174"/>
      <c r="H5" s="174"/>
      <c r="I5" s="174"/>
      <c r="J5" s="174"/>
      <c r="K5" s="36" t="s">
        <v>54</v>
      </c>
      <c r="L5" s="35" t="s">
        <v>60</v>
      </c>
      <c r="M5" s="36" t="s">
        <v>22</v>
      </c>
    </row>
    <row r="6" spans="1:31" ht="51" customHeight="1" x14ac:dyDescent="0.2">
      <c r="A6" s="167"/>
      <c r="B6" s="167"/>
      <c r="C6" s="167"/>
      <c r="D6" s="167"/>
      <c r="E6" s="167"/>
      <c r="F6" s="36" t="s">
        <v>337</v>
      </c>
      <c r="G6" s="36" t="s">
        <v>336</v>
      </c>
      <c r="H6" s="36" t="s">
        <v>338</v>
      </c>
      <c r="I6" s="36" t="s">
        <v>339</v>
      </c>
      <c r="J6" s="36" t="s">
        <v>340</v>
      </c>
      <c r="K6" s="36"/>
      <c r="L6" s="35"/>
      <c r="M6" s="36"/>
    </row>
    <row r="7" spans="1:31" x14ac:dyDescent="0.2">
      <c r="A7" s="19">
        <v>1</v>
      </c>
      <c r="B7" s="19">
        <f>A7+1</f>
        <v>2</v>
      </c>
      <c r="C7" s="19">
        <f t="shared" ref="C7:M7" si="1">B7+1</f>
        <v>3</v>
      </c>
      <c r="D7" s="19">
        <f t="shared" si="1"/>
        <v>4</v>
      </c>
      <c r="E7" s="19">
        <f t="shared" si="1"/>
        <v>5</v>
      </c>
      <c r="F7" s="19">
        <f t="shared" ref="F7" si="2">E7+1</f>
        <v>6</v>
      </c>
      <c r="G7" s="19">
        <f t="shared" ref="G7" si="3">F7+1</f>
        <v>7</v>
      </c>
      <c r="H7" s="19">
        <f t="shared" ref="H7" si="4">G7+1</f>
        <v>8</v>
      </c>
      <c r="I7" s="19">
        <f t="shared" ref="I7" si="5">H7+1</f>
        <v>9</v>
      </c>
      <c r="J7" s="19">
        <f t="shared" ref="J7" si="6">I7+1</f>
        <v>10</v>
      </c>
      <c r="K7" s="19">
        <f t="shared" si="1"/>
        <v>11</v>
      </c>
      <c r="L7" s="19">
        <f t="shared" si="1"/>
        <v>12</v>
      </c>
      <c r="M7" s="19">
        <f t="shared" si="1"/>
        <v>13</v>
      </c>
    </row>
    <row r="8" spans="1:31" ht="67.5" x14ac:dyDescent="0.2">
      <c r="A8" s="15"/>
      <c r="B8" s="18" t="s">
        <v>61</v>
      </c>
      <c r="C8" s="18" t="s">
        <v>39</v>
      </c>
      <c r="D8" s="18" t="s">
        <v>39</v>
      </c>
      <c r="E8" s="14" t="s">
        <v>32</v>
      </c>
      <c r="F8" s="14" t="s">
        <v>341</v>
      </c>
      <c r="G8" s="14" t="s">
        <v>35</v>
      </c>
      <c r="H8" s="14" t="s">
        <v>342</v>
      </c>
      <c r="I8" s="14" t="s">
        <v>343</v>
      </c>
      <c r="J8" s="14" t="s">
        <v>344</v>
      </c>
      <c r="K8" s="16" t="s">
        <v>24</v>
      </c>
      <c r="L8" s="16" t="s">
        <v>34</v>
      </c>
      <c r="M8" s="16" t="s">
        <v>510</v>
      </c>
      <c r="AE8" s="35" t="s">
        <v>53</v>
      </c>
    </row>
    <row r="9" spans="1:31" ht="23.1" customHeight="1" x14ac:dyDescent="0.2">
      <c r="A9" s="3">
        <v>1</v>
      </c>
      <c r="B9" s="17" t="str">
        <f>tabela_informacyjna_dla_JST!$C$9</f>
        <v>Ruda Maleniecka</v>
      </c>
      <c r="C9" s="59" t="str">
        <f>IFERROR(CONCATENATE(tabela_informacyjna_dla_JST!$D$7,"_EE"),"brak nazwy gminy")</f>
        <v>PL2602_EE</v>
      </c>
      <c r="D9" s="25" t="str">
        <f>IFERROR(VLOOKUP($C9,kat_zadania[],katalogi!$N$1-katalogi!$L$1,FALSE),"brak nazwy gminy")</f>
        <v>Prowadzenie działań promocyjnych i edukacyjnych (ulotki, imprezy, akcje szkolne, audycje, konferencje) oraz informacyjnych i szkoleniowych</v>
      </c>
      <c r="E9" s="140" t="s">
        <v>558</v>
      </c>
      <c r="F9" s="140"/>
      <c r="G9" s="140"/>
      <c r="H9" s="140"/>
      <c r="I9" s="140"/>
      <c r="J9" s="140">
        <v>3000</v>
      </c>
      <c r="K9" s="137">
        <v>0</v>
      </c>
      <c r="L9" s="137">
        <v>0</v>
      </c>
      <c r="M9" s="138"/>
      <c r="AE9" s="1" t="b">
        <f>OR(NOT(ISBLANK(E9)),NOT(ISBLANK(J9)))</f>
        <v>1</v>
      </c>
    </row>
    <row r="10" spans="1:31" ht="23.1" customHeight="1" x14ac:dyDescent="0.2">
      <c r="A10" s="3">
        <v>2</v>
      </c>
      <c r="B10" s="17" t="str">
        <f>tabela_informacyjna_dla_JST!$C$9</f>
        <v>Ruda Maleniecka</v>
      </c>
      <c r="C10" s="59" t="str">
        <f>IFERROR(CONCATENATE(tabela_informacyjna_dla_JST!$D$7,"_EE"),"brak nazwy gminy")</f>
        <v>PL2602_EE</v>
      </c>
      <c r="D10" s="25" t="str">
        <f>IFERROR(VLOOKUP($C10,kat_zadania[],katalogi!$N$1-katalogi!$L$1,FALSE),"brak nazwy gminy")</f>
        <v>Prowadzenie działań promocyjnych i edukacyjnych (ulotki, imprezy, akcje szkolne, audycje, konferencje) oraz informacyjnych i szkoleniowych</v>
      </c>
      <c r="E10" s="140" t="s">
        <v>559</v>
      </c>
      <c r="F10" s="140"/>
      <c r="G10" s="140"/>
      <c r="H10" s="140"/>
      <c r="I10" s="140"/>
      <c r="J10" s="140">
        <v>1000</v>
      </c>
      <c r="K10" s="137">
        <v>0</v>
      </c>
      <c r="L10" s="137">
        <v>0</v>
      </c>
      <c r="M10" s="138"/>
      <c r="AE10" s="1" t="b">
        <f>OR(NOT(ISBLANK(tab.2_EE_org!F9)),NOT(ISBLANK(J10)))</f>
        <v>1</v>
      </c>
    </row>
    <row r="11" spans="1:31" ht="23.1" customHeight="1" x14ac:dyDescent="0.2">
      <c r="A11" s="3">
        <v>3</v>
      </c>
      <c r="B11" s="17" t="str">
        <f>tabela_informacyjna_dla_JST!$C$9</f>
        <v>Ruda Maleniecka</v>
      </c>
      <c r="C11" s="59" t="str">
        <f>IFERROR(CONCATENATE(tabela_informacyjna_dla_JST!$D$7,"_EE"),"brak nazwy gminy")</f>
        <v>PL2602_EE</v>
      </c>
      <c r="D11" s="25" t="str">
        <f>IFERROR(VLOOKUP($C11,kat_zadania[],katalogi!$N$1-katalogi!$L$1,FALSE),"brak nazwy gminy")</f>
        <v>Prowadzenie działań promocyjnych i edukacyjnych (ulotki, imprezy, akcje szkolne, audycje, konferencje) oraz informacyjnych i szkoleniowych</v>
      </c>
      <c r="E11" s="140"/>
      <c r="F11" s="140"/>
      <c r="G11" s="140"/>
      <c r="H11" s="140"/>
      <c r="I11" s="140"/>
      <c r="J11" s="140"/>
      <c r="K11" s="137"/>
      <c r="L11" s="137"/>
      <c r="M11" s="138"/>
      <c r="AE11" s="1" t="b">
        <f t="shared" ref="AE11:AE18" si="7">OR(NOT(ISBLANK(E11)),NOT(ISBLANK(J11)))</f>
        <v>0</v>
      </c>
    </row>
    <row r="12" spans="1:31" ht="23.1" customHeight="1" x14ac:dyDescent="0.2">
      <c r="A12" s="3">
        <v>4</v>
      </c>
      <c r="B12" s="17" t="str">
        <f>tabela_informacyjna_dla_JST!$C$9</f>
        <v>Ruda Maleniecka</v>
      </c>
      <c r="C12" s="59" t="str">
        <f>IFERROR(CONCATENATE(tabela_informacyjna_dla_JST!$D$7,"_EE"),"brak nazwy gminy")</f>
        <v>PL2602_EE</v>
      </c>
      <c r="D12" s="25" t="str">
        <f>IFERROR(VLOOKUP($C12,kat_zadania[],katalogi!$N$1-katalogi!$L$1,FALSE),"brak nazwy gminy")</f>
        <v>Prowadzenie działań promocyjnych i edukacyjnych (ulotki, imprezy, akcje szkolne, audycje, konferencje) oraz informacyjnych i szkoleniowych</v>
      </c>
      <c r="E12" s="140"/>
      <c r="F12" s="140"/>
      <c r="G12" s="140"/>
      <c r="H12" s="140"/>
      <c r="I12" s="140"/>
      <c r="J12" s="140"/>
      <c r="K12" s="137"/>
      <c r="L12" s="137"/>
      <c r="M12" s="138"/>
      <c r="AE12" s="1" t="b">
        <f t="shared" si="7"/>
        <v>0</v>
      </c>
    </row>
    <row r="13" spans="1:31" ht="23.1" customHeight="1" x14ac:dyDescent="0.2">
      <c r="A13" s="3">
        <v>5</v>
      </c>
      <c r="B13" s="17" t="str">
        <f>tabela_informacyjna_dla_JST!$C$9</f>
        <v>Ruda Maleniecka</v>
      </c>
      <c r="C13" s="59" t="str">
        <f>IFERROR(CONCATENATE(tabela_informacyjna_dla_JST!$D$7,"_EE"),"brak nazwy gminy")</f>
        <v>PL2602_EE</v>
      </c>
      <c r="D13" s="25" t="str">
        <f>IFERROR(VLOOKUP($C13,kat_zadania[],katalogi!$N$1-katalogi!$L$1,FALSE),"brak nazwy gminy")</f>
        <v>Prowadzenie działań promocyjnych i edukacyjnych (ulotki, imprezy, akcje szkolne, audycje, konferencje) oraz informacyjnych i szkoleniowych</v>
      </c>
      <c r="E13" s="140"/>
      <c r="F13" s="140"/>
      <c r="G13" s="140"/>
      <c r="H13" s="140"/>
      <c r="I13" s="140"/>
      <c r="J13" s="140"/>
      <c r="K13" s="137"/>
      <c r="L13" s="137"/>
      <c r="M13" s="138"/>
      <c r="AE13" s="1" t="b">
        <f t="shared" si="7"/>
        <v>0</v>
      </c>
    </row>
    <row r="14" spans="1:31" ht="23.1" customHeight="1" x14ac:dyDescent="0.2">
      <c r="A14" s="3">
        <v>6</v>
      </c>
      <c r="B14" s="17" t="str">
        <f>tabela_informacyjna_dla_JST!$C$9</f>
        <v>Ruda Maleniecka</v>
      </c>
      <c r="C14" s="59" t="str">
        <f>IFERROR(CONCATENATE(tabela_informacyjna_dla_JST!$D$7,"_EE"),"brak nazwy gminy")</f>
        <v>PL2602_EE</v>
      </c>
      <c r="D14" s="25" t="str">
        <f>IFERROR(VLOOKUP($C14,kat_zadania[],katalogi!$N$1-katalogi!$L$1,FALSE),"brak nazwy gminy")</f>
        <v>Prowadzenie działań promocyjnych i edukacyjnych (ulotki, imprezy, akcje szkolne, audycje, konferencje) oraz informacyjnych i szkoleniowych</v>
      </c>
      <c r="E14" s="140"/>
      <c r="F14" s="140"/>
      <c r="G14" s="140"/>
      <c r="H14" s="140"/>
      <c r="I14" s="140"/>
      <c r="J14" s="140"/>
      <c r="K14" s="137"/>
      <c r="L14" s="137"/>
      <c r="M14" s="138"/>
      <c r="AE14" s="1" t="b">
        <f t="shared" si="7"/>
        <v>0</v>
      </c>
    </row>
    <row r="15" spans="1:31" ht="23.1" customHeight="1" x14ac:dyDescent="0.2">
      <c r="A15" s="3">
        <v>7</v>
      </c>
      <c r="B15" s="17" t="str">
        <f>tabela_informacyjna_dla_JST!$C$9</f>
        <v>Ruda Maleniecka</v>
      </c>
      <c r="C15" s="59" t="str">
        <f>IFERROR(CONCATENATE(tabela_informacyjna_dla_JST!$D$7,"_EE"),"brak nazwy gminy")</f>
        <v>PL2602_EE</v>
      </c>
      <c r="D15" s="25" t="str">
        <f>IFERROR(VLOOKUP($C15,kat_zadania[],katalogi!$N$1-katalogi!$L$1,FALSE),"brak nazwy gminy")</f>
        <v>Prowadzenie działań promocyjnych i edukacyjnych (ulotki, imprezy, akcje szkolne, audycje, konferencje) oraz informacyjnych i szkoleniowych</v>
      </c>
      <c r="E15" s="140"/>
      <c r="F15" s="140"/>
      <c r="G15" s="140"/>
      <c r="H15" s="140"/>
      <c r="I15" s="140"/>
      <c r="J15" s="140"/>
      <c r="K15" s="137"/>
      <c r="L15" s="137"/>
      <c r="M15" s="138"/>
      <c r="AE15" s="1" t="b">
        <f t="shared" si="7"/>
        <v>0</v>
      </c>
    </row>
    <row r="16" spans="1:31" ht="23.1" customHeight="1" x14ac:dyDescent="0.2">
      <c r="A16" s="3">
        <v>8</v>
      </c>
      <c r="B16" s="17" t="str">
        <f>tabela_informacyjna_dla_JST!$C$9</f>
        <v>Ruda Maleniecka</v>
      </c>
      <c r="C16" s="59" t="str">
        <f>IFERROR(CONCATENATE(tabela_informacyjna_dla_JST!$D$7,"_EE"),"brak nazwy gminy")</f>
        <v>PL2602_EE</v>
      </c>
      <c r="D16" s="25" t="str">
        <f>IFERROR(VLOOKUP($C16,kat_zadania[],katalogi!$N$1-katalogi!$L$1,FALSE),"brak nazwy gminy")</f>
        <v>Prowadzenie działań promocyjnych i edukacyjnych (ulotki, imprezy, akcje szkolne, audycje, konferencje) oraz informacyjnych i szkoleniowych</v>
      </c>
      <c r="E16" s="140"/>
      <c r="F16" s="140"/>
      <c r="G16" s="140"/>
      <c r="H16" s="140"/>
      <c r="I16" s="140"/>
      <c r="J16" s="140"/>
      <c r="K16" s="137"/>
      <c r="L16" s="137"/>
      <c r="M16" s="138"/>
      <c r="AE16" s="1" t="b">
        <f t="shared" si="7"/>
        <v>0</v>
      </c>
    </row>
    <row r="17" spans="1:31" ht="23.1" customHeight="1" x14ac:dyDescent="0.2">
      <c r="A17" s="3">
        <v>9</v>
      </c>
      <c r="B17" s="17" t="str">
        <f>tabela_informacyjna_dla_JST!$C$9</f>
        <v>Ruda Maleniecka</v>
      </c>
      <c r="C17" s="59" t="str">
        <f>IFERROR(CONCATENATE(tabela_informacyjna_dla_JST!$D$7,"_EE"),"brak nazwy gminy")</f>
        <v>PL2602_EE</v>
      </c>
      <c r="D17" s="25" t="str">
        <f>IFERROR(VLOOKUP($C17,kat_zadania[],katalogi!$N$1-katalogi!$L$1,FALSE),"brak nazwy gminy")</f>
        <v>Prowadzenie działań promocyjnych i edukacyjnych (ulotki, imprezy, akcje szkolne, audycje, konferencje) oraz informacyjnych i szkoleniowych</v>
      </c>
      <c r="E17" s="140"/>
      <c r="F17" s="140"/>
      <c r="G17" s="140"/>
      <c r="H17" s="140"/>
      <c r="I17" s="140"/>
      <c r="J17" s="140"/>
      <c r="K17" s="137"/>
      <c r="L17" s="137"/>
      <c r="M17" s="138"/>
      <c r="AE17" s="1" t="b">
        <f t="shared" si="7"/>
        <v>0</v>
      </c>
    </row>
    <row r="18" spans="1:31" ht="23.1" customHeight="1" x14ac:dyDescent="0.2">
      <c r="A18" s="3">
        <v>10</v>
      </c>
      <c r="B18" s="17" t="str">
        <f>tabela_informacyjna_dla_JST!$C$9</f>
        <v>Ruda Maleniecka</v>
      </c>
      <c r="C18" s="59" t="str">
        <f>IFERROR(CONCATENATE(tabela_informacyjna_dla_JST!$D$7,"_EE"),"brak nazwy gminy")</f>
        <v>PL2602_EE</v>
      </c>
      <c r="D18" s="25" t="str">
        <f>IFERROR(VLOOKUP($C18,kat_zadania[],katalogi!$N$1-katalogi!$L$1,FALSE),"brak nazwy gminy")</f>
        <v>Prowadzenie działań promocyjnych i edukacyjnych (ulotki, imprezy, akcje szkolne, audycje, konferencje) oraz informacyjnych i szkoleniowych</v>
      </c>
      <c r="E18" s="140"/>
      <c r="F18" s="140"/>
      <c r="G18" s="140"/>
      <c r="H18" s="140"/>
      <c r="I18" s="140"/>
      <c r="J18" s="140"/>
      <c r="K18" s="137"/>
      <c r="L18" s="137"/>
      <c r="M18" s="138"/>
      <c r="AE18" s="1" t="b">
        <f t="shared" si="7"/>
        <v>0</v>
      </c>
    </row>
  </sheetData>
  <sheetProtection formatCells="0" formatRows="0" sort="0" autoFilter="0" pivotTables="0"/>
  <mergeCells count="7">
    <mergeCell ref="F3:L3"/>
    <mergeCell ref="A5:A6"/>
    <mergeCell ref="B5:B6"/>
    <mergeCell ref="C5:C6"/>
    <mergeCell ref="D5:D6"/>
    <mergeCell ref="E5:E6"/>
    <mergeCell ref="F5:J5"/>
  </mergeCells>
  <conditionalFormatting sqref="B9:B18">
    <cfRule type="cellIs" dxfId="6" priority="1" operator="equal">
      <formula>0</formula>
    </cfRule>
  </conditionalFormatting>
  <dataValidations count="2">
    <dataValidation type="decimal" operator="greaterThanOrEqual" allowBlank="1" showInputMessage="1" showErrorMessage="1" error="Proszę podać wartość liczbową!" sqref="K9:L18">
      <formula1>0</formula1>
    </dataValidation>
    <dataValidation type="whole" operator="greaterThanOrEqual" allowBlank="1" showInputMessage="1" showErrorMessage="1" error="Proszę podać wartość liczbową!" sqref="F9:J18">
      <formula1>0</formula1>
    </dataValidation>
  </dataValidation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AI22"/>
  <sheetViews>
    <sheetView zoomScale="90" zoomScaleNormal="90" workbookViewId="0">
      <pane xSplit="3" ySplit="12" topLeftCell="D13" activePane="bottomRight" state="frozen"/>
      <selection pane="topRight" activeCell="D1" sqref="D1"/>
      <selection pane="bottomLeft" activeCell="A8" sqref="A8"/>
      <selection pane="bottomRight" activeCell="C16" sqref="C16"/>
    </sheetView>
  </sheetViews>
  <sheetFormatPr defaultColWidth="9.140625" defaultRowHeight="12" x14ac:dyDescent="0.2"/>
  <cols>
    <col min="1" max="1" width="4.42578125" style="1" customWidth="1"/>
    <col min="2" max="2" width="12.140625" style="1" customWidth="1"/>
    <col min="3" max="3" width="13.140625" style="1" customWidth="1"/>
    <col min="4" max="4" width="37.7109375" style="1" customWidth="1"/>
    <col min="5" max="5" width="16" style="1" customWidth="1"/>
    <col min="6" max="6" width="18.140625" style="1" customWidth="1"/>
    <col min="7" max="7" width="14.140625" style="1" customWidth="1"/>
    <col min="8" max="8" width="17.7109375" style="1" customWidth="1"/>
    <col min="9" max="10" width="9.85546875" style="1" customWidth="1"/>
    <col min="11" max="11" width="10.5703125" style="1" customWidth="1"/>
    <col min="12" max="12" width="14.5703125" style="1" customWidth="1"/>
    <col min="13" max="13" width="16.7109375" style="1" customWidth="1"/>
    <col min="14" max="16" width="11.42578125" style="1" customWidth="1"/>
    <col min="17" max="17" width="15.140625" style="1" customWidth="1"/>
    <col min="18" max="34" width="9.140625" style="1"/>
    <col min="35" max="35" width="7" style="1" hidden="1" customWidth="1"/>
    <col min="36" max="16384" width="9.140625" style="1"/>
  </cols>
  <sheetData>
    <row r="1" spans="1:35" ht="15.75" thickBot="1" x14ac:dyDescent="0.25">
      <c r="A1" s="149" t="s">
        <v>535</v>
      </c>
    </row>
    <row r="2" spans="1:35" ht="19.5" thickBot="1" x14ac:dyDescent="0.25">
      <c r="D2" s="71" t="s">
        <v>348</v>
      </c>
      <c r="E2" s="150">
        <f>IFERROR(VLOOKUP(tabela_informacyjna_dla_JST!$D$9,gminy_26[],katalog_gmin_PL26!$Q$1,FALSE),"brak nazwy gminy")</f>
        <v>5</v>
      </c>
      <c r="F2" s="62"/>
      <c r="H2" s="62"/>
      <c r="I2" s="62"/>
      <c r="J2" s="62"/>
      <c r="K2" s="62"/>
      <c r="L2" s="62"/>
      <c r="M2" s="62"/>
      <c r="N2" s="62"/>
      <c r="O2" s="62"/>
      <c r="P2" s="62"/>
      <c r="Q2" s="62"/>
    </row>
    <row r="5" spans="1:35" ht="15" x14ac:dyDescent="0.2">
      <c r="A5" s="12" t="s">
        <v>347</v>
      </c>
    </row>
    <row r="6" spans="1:35" ht="15" x14ac:dyDescent="0.2">
      <c r="G6" s="171" t="s">
        <v>345</v>
      </c>
      <c r="H6" s="172"/>
      <c r="I6" s="172"/>
      <c r="J6" s="172"/>
      <c r="K6" s="172"/>
      <c r="L6" s="172"/>
      <c r="M6" s="172"/>
      <c r="N6" s="172"/>
      <c r="O6" s="172"/>
      <c r="P6" s="172"/>
      <c r="Q6" s="173"/>
    </row>
    <row r="7" spans="1:35" ht="19.899999999999999" customHeight="1" x14ac:dyDescent="0.2">
      <c r="A7" s="12"/>
      <c r="D7" s="13"/>
      <c r="E7" s="13"/>
      <c r="F7" s="13"/>
      <c r="G7" s="70">
        <f>SUM(G13:G22)</f>
        <v>0</v>
      </c>
      <c r="H7" s="63">
        <f>SUM(H13:H22)</f>
        <v>0</v>
      </c>
      <c r="I7" s="63">
        <f t="shared" ref="I7:Q7" si="0">SUM(I13:I22)</f>
        <v>0</v>
      </c>
      <c r="J7" s="63">
        <f t="shared" si="0"/>
        <v>0</v>
      </c>
      <c r="K7" s="63">
        <f t="shared" si="0"/>
        <v>0</v>
      </c>
      <c r="L7" s="63">
        <f t="shared" si="0"/>
        <v>0</v>
      </c>
      <c r="M7" s="63">
        <f t="shared" si="0"/>
        <v>0</v>
      </c>
      <c r="N7" s="63">
        <f t="shared" si="0"/>
        <v>0</v>
      </c>
      <c r="O7" s="63">
        <f t="shared" si="0"/>
        <v>0</v>
      </c>
      <c r="P7" s="63">
        <f t="shared" si="0"/>
        <v>0</v>
      </c>
      <c r="Q7" s="63">
        <f t="shared" si="0"/>
        <v>0</v>
      </c>
    </row>
    <row r="8" spans="1:35" ht="24" customHeight="1" x14ac:dyDescent="0.2">
      <c r="A8" s="174" t="s">
        <v>7</v>
      </c>
      <c r="B8" s="174" t="s">
        <v>31</v>
      </c>
      <c r="C8" s="174" t="s">
        <v>25</v>
      </c>
      <c r="D8" s="174" t="s">
        <v>26</v>
      </c>
      <c r="E8" s="166" t="s">
        <v>374</v>
      </c>
      <c r="F8" s="166" t="s">
        <v>376</v>
      </c>
      <c r="G8" s="166" t="s">
        <v>349</v>
      </c>
      <c r="H8" s="174" t="s">
        <v>506</v>
      </c>
      <c r="I8" s="174"/>
      <c r="J8" s="174"/>
      <c r="K8" s="174"/>
      <c r="L8" s="174"/>
      <c r="M8" s="174"/>
      <c r="N8" s="174"/>
      <c r="O8" s="174"/>
      <c r="P8" s="174"/>
      <c r="Q8" s="174"/>
    </row>
    <row r="9" spans="1:35" ht="45.6" customHeight="1" x14ac:dyDescent="0.2">
      <c r="A9" s="174"/>
      <c r="B9" s="174"/>
      <c r="C9" s="174"/>
      <c r="D9" s="174"/>
      <c r="E9" s="185"/>
      <c r="F9" s="167"/>
      <c r="G9" s="167"/>
      <c r="H9" s="179" t="s">
        <v>350</v>
      </c>
      <c r="I9" s="180"/>
      <c r="J9" s="180"/>
      <c r="K9" s="180"/>
      <c r="L9" s="181"/>
      <c r="M9" s="182" t="s">
        <v>351</v>
      </c>
      <c r="N9" s="183"/>
      <c r="O9" s="183"/>
      <c r="P9" s="183"/>
      <c r="Q9" s="184"/>
    </row>
    <row r="10" spans="1:35" ht="36" x14ac:dyDescent="0.2">
      <c r="A10" s="174"/>
      <c r="B10" s="174"/>
      <c r="C10" s="174"/>
      <c r="D10" s="174"/>
      <c r="E10" s="167"/>
      <c r="F10" s="38" t="s">
        <v>377</v>
      </c>
      <c r="G10" s="38"/>
      <c r="H10" s="67" t="s">
        <v>364</v>
      </c>
      <c r="I10" s="67" t="s">
        <v>365</v>
      </c>
      <c r="J10" s="67" t="s">
        <v>366</v>
      </c>
      <c r="K10" s="67" t="s">
        <v>367</v>
      </c>
      <c r="L10" s="67" t="s">
        <v>368</v>
      </c>
      <c r="M10" s="69" t="s">
        <v>364</v>
      </c>
      <c r="N10" s="69" t="s">
        <v>365</v>
      </c>
      <c r="O10" s="69" t="s">
        <v>366</v>
      </c>
      <c r="P10" s="69" t="s">
        <v>367</v>
      </c>
      <c r="Q10" s="69" t="s">
        <v>368</v>
      </c>
    </row>
    <row r="11" spans="1:35" x14ac:dyDescent="0.2">
      <c r="A11" s="19">
        <v>1</v>
      </c>
      <c r="B11" s="19">
        <f>A11+1</f>
        <v>2</v>
      </c>
      <c r="C11" s="19">
        <f t="shared" ref="C11:Q11" si="1">B11+1</f>
        <v>3</v>
      </c>
      <c r="D11" s="19">
        <f t="shared" si="1"/>
        <v>4</v>
      </c>
      <c r="E11" s="19">
        <f t="shared" si="1"/>
        <v>5</v>
      </c>
      <c r="F11" s="19">
        <f t="shared" si="1"/>
        <v>6</v>
      </c>
      <c r="G11" s="19">
        <f t="shared" si="1"/>
        <v>7</v>
      </c>
      <c r="H11" s="19">
        <f t="shared" si="1"/>
        <v>8</v>
      </c>
      <c r="I11" s="19">
        <f t="shared" si="1"/>
        <v>9</v>
      </c>
      <c r="J11" s="19">
        <f t="shared" si="1"/>
        <v>10</v>
      </c>
      <c r="K11" s="19">
        <f t="shared" si="1"/>
        <v>11</v>
      </c>
      <c r="L11" s="19">
        <f t="shared" si="1"/>
        <v>12</v>
      </c>
      <c r="M11" s="19">
        <f t="shared" si="1"/>
        <v>13</v>
      </c>
      <c r="N11" s="19">
        <f t="shared" si="1"/>
        <v>14</v>
      </c>
      <c r="O11" s="19">
        <f t="shared" si="1"/>
        <v>15</v>
      </c>
      <c r="P11" s="19">
        <f t="shared" si="1"/>
        <v>16</v>
      </c>
      <c r="Q11" s="19">
        <f t="shared" si="1"/>
        <v>17</v>
      </c>
    </row>
    <row r="12" spans="1:35" ht="56.25" x14ac:dyDescent="0.2">
      <c r="A12" s="15"/>
      <c r="B12" s="18" t="s">
        <v>61</v>
      </c>
      <c r="C12" s="18" t="s">
        <v>39</v>
      </c>
      <c r="D12" s="18" t="s">
        <v>39</v>
      </c>
      <c r="E12" s="14" t="s">
        <v>375</v>
      </c>
      <c r="F12" s="14" t="s">
        <v>488</v>
      </c>
      <c r="G12" s="18" t="s">
        <v>39</v>
      </c>
      <c r="H12" s="68" t="s">
        <v>369</v>
      </c>
      <c r="I12" s="14" t="s">
        <v>370</v>
      </c>
      <c r="J12" s="14" t="s">
        <v>371</v>
      </c>
      <c r="K12" s="14" t="s">
        <v>372</v>
      </c>
      <c r="L12" s="14" t="s">
        <v>373</v>
      </c>
      <c r="M12" s="68" t="s">
        <v>369</v>
      </c>
      <c r="N12" s="14" t="s">
        <v>370</v>
      </c>
      <c r="O12" s="14" t="s">
        <v>371</v>
      </c>
      <c r="P12" s="14" t="s">
        <v>372</v>
      </c>
      <c r="Q12" s="14" t="s">
        <v>373</v>
      </c>
      <c r="AI12" s="35" t="s">
        <v>53</v>
      </c>
    </row>
    <row r="13" spans="1:35" ht="23.1" customHeight="1" x14ac:dyDescent="0.2">
      <c r="A13" s="3">
        <v>1</v>
      </c>
      <c r="B13" s="17" t="str">
        <f>tabela_informacyjna_dla_JST!$C$9</f>
        <v>Ruda Maleniecka</v>
      </c>
      <c r="C13" s="59" t="str">
        <f>IFERROR(CONCATENATE(tabela_informacyjna_dla_JST!$D$7,"_KPP"),"brak nazwy gminy")</f>
        <v>PL2602_KPP</v>
      </c>
      <c r="D13" s="25" t="str">
        <f>IFERROR(VLOOKUP($C13,kat_zadania[],katalogi!$N$1-katalogi!$L$1,FALSE),"brak nazwy gminy")</f>
        <v>Prowadzenie kontroli przestrzegania przepisów ograniczających używanie paliw lub urządzeń do celów grzewczych oraz zakazu spalania odpadów</v>
      </c>
      <c r="E13" s="135"/>
      <c r="F13" s="141"/>
      <c r="G13" s="26">
        <f>SUM(H13+M13)</f>
        <v>0</v>
      </c>
      <c r="H13" s="140"/>
      <c r="I13" s="140"/>
      <c r="J13" s="140"/>
      <c r="K13" s="140"/>
      <c r="L13" s="140"/>
      <c r="M13" s="140"/>
      <c r="N13" s="140"/>
      <c r="O13" s="140"/>
      <c r="P13" s="140"/>
      <c r="Q13" s="140"/>
      <c r="AI13" s="1" t="b">
        <f>OR(NOT(ISBLANK(G13)),NOT(ISBLANK(Q13)))</f>
        <v>1</v>
      </c>
    </row>
    <row r="14" spans="1:35" ht="23.1" customHeight="1" x14ac:dyDescent="0.2">
      <c r="A14" s="3">
        <v>2</v>
      </c>
      <c r="B14" s="17" t="str">
        <f>tabela_informacyjna_dla_JST!$C$9</f>
        <v>Ruda Maleniecka</v>
      </c>
      <c r="C14" s="59" t="str">
        <f>IFERROR(CONCATENATE(tabela_informacyjna_dla_JST!$D$7,"_KPP"),"brak nazwy gminy")</f>
        <v>PL2602_KPP</v>
      </c>
      <c r="D14" s="25" t="str">
        <f>IFERROR(VLOOKUP($C14,kat_zadania[],katalogi!$N$1-katalogi!$L$1,FALSE),"brak nazwy gminy")</f>
        <v>Prowadzenie kontroli przestrzegania przepisów ograniczających używanie paliw lub urządzeń do celów grzewczych oraz zakazu spalania odpadów</v>
      </c>
      <c r="E14" s="135"/>
      <c r="F14" s="141"/>
      <c r="G14" s="26">
        <f t="shared" ref="G14:G22" si="2">SUM(H14+M14)</f>
        <v>0</v>
      </c>
      <c r="H14" s="140"/>
      <c r="I14" s="140"/>
      <c r="J14" s="140"/>
      <c r="K14" s="140"/>
      <c r="L14" s="140"/>
      <c r="M14" s="140"/>
      <c r="N14" s="140"/>
      <c r="O14" s="140"/>
      <c r="P14" s="140"/>
      <c r="Q14" s="140"/>
      <c r="AI14" s="1" t="b">
        <f t="shared" ref="AI14:AI22" si="3">OR(NOT(ISBLANK(G14)),NOT(ISBLANK(Q14)))</f>
        <v>1</v>
      </c>
    </row>
    <row r="15" spans="1:35" ht="23.1" customHeight="1" x14ac:dyDescent="0.2">
      <c r="A15" s="3">
        <v>3</v>
      </c>
      <c r="B15" s="17" t="str">
        <f>tabela_informacyjna_dla_JST!$C$9</f>
        <v>Ruda Maleniecka</v>
      </c>
      <c r="C15" s="59" t="str">
        <f>IFERROR(CONCATENATE(tabela_informacyjna_dla_JST!$D$7,"_KPP"),"brak nazwy gminy")</f>
        <v>PL2602_KPP</v>
      </c>
      <c r="D15" s="25" t="str">
        <f>IFERROR(VLOOKUP($C15,kat_zadania[],katalogi!$N$1-katalogi!$L$1,FALSE),"brak nazwy gminy")</f>
        <v>Prowadzenie kontroli przestrzegania przepisów ograniczających używanie paliw lub urządzeń do celów grzewczych oraz zakazu spalania odpadów</v>
      </c>
      <c r="E15" s="135"/>
      <c r="F15" s="141"/>
      <c r="G15" s="26">
        <f t="shared" si="2"/>
        <v>0</v>
      </c>
      <c r="H15" s="140"/>
      <c r="I15" s="140"/>
      <c r="J15" s="140"/>
      <c r="K15" s="140"/>
      <c r="L15" s="140"/>
      <c r="M15" s="140"/>
      <c r="N15" s="140"/>
      <c r="O15" s="140"/>
      <c r="P15" s="140"/>
      <c r="Q15" s="140"/>
      <c r="AI15" s="1" t="b">
        <f t="shared" si="3"/>
        <v>1</v>
      </c>
    </row>
    <row r="16" spans="1:35" ht="23.1" customHeight="1" x14ac:dyDescent="0.2">
      <c r="A16" s="3">
        <v>4</v>
      </c>
      <c r="B16" s="17" t="str">
        <f>tabela_informacyjna_dla_JST!$C$9</f>
        <v>Ruda Maleniecka</v>
      </c>
      <c r="C16" s="59" t="str">
        <f>IFERROR(CONCATENATE(tabela_informacyjna_dla_JST!$D$7,"_KPP"),"brak nazwy gminy")</f>
        <v>PL2602_KPP</v>
      </c>
      <c r="D16" s="25" t="str">
        <f>IFERROR(VLOOKUP($C16,kat_zadania[],katalogi!$N$1-katalogi!$L$1,FALSE),"brak nazwy gminy")</f>
        <v>Prowadzenie kontroli przestrzegania przepisów ograniczających używanie paliw lub urządzeń do celów grzewczych oraz zakazu spalania odpadów</v>
      </c>
      <c r="E16" s="135"/>
      <c r="F16" s="141"/>
      <c r="G16" s="26">
        <f t="shared" si="2"/>
        <v>0</v>
      </c>
      <c r="H16" s="140"/>
      <c r="I16" s="140"/>
      <c r="J16" s="140"/>
      <c r="K16" s="140"/>
      <c r="L16" s="140"/>
      <c r="M16" s="140"/>
      <c r="N16" s="140"/>
      <c r="O16" s="140"/>
      <c r="P16" s="140"/>
      <c r="Q16" s="140"/>
      <c r="AI16" s="1" t="b">
        <f t="shared" si="3"/>
        <v>1</v>
      </c>
    </row>
    <row r="17" spans="1:35" ht="23.1" customHeight="1" x14ac:dyDescent="0.2">
      <c r="A17" s="3">
        <v>5</v>
      </c>
      <c r="B17" s="17" t="str">
        <f>tabela_informacyjna_dla_JST!$C$9</f>
        <v>Ruda Maleniecka</v>
      </c>
      <c r="C17" s="59" t="str">
        <f>IFERROR(CONCATENATE(tabela_informacyjna_dla_JST!$D$7,"_KPP"),"brak nazwy gminy")</f>
        <v>PL2602_KPP</v>
      </c>
      <c r="D17" s="25" t="str">
        <f>IFERROR(VLOOKUP($C17,kat_zadania[],katalogi!$N$1-katalogi!$L$1,FALSE),"brak nazwy gminy")</f>
        <v>Prowadzenie kontroli przestrzegania przepisów ograniczających używanie paliw lub urządzeń do celów grzewczych oraz zakazu spalania odpadów</v>
      </c>
      <c r="E17" s="135"/>
      <c r="F17" s="141"/>
      <c r="G17" s="26">
        <f t="shared" si="2"/>
        <v>0</v>
      </c>
      <c r="H17" s="140"/>
      <c r="I17" s="140"/>
      <c r="J17" s="140"/>
      <c r="K17" s="140"/>
      <c r="L17" s="140"/>
      <c r="M17" s="140"/>
      <c r="N17" s="140"/>
      <c r="O17" s="140"/>
      <c r="P17" s="140"/>
      <c r="Q17" s="140"/>
      <c r="AI17" s="1" t="b">
        <f t="shared" si="3"/>
        <v>1</v>
      </c>
    </row>
    <row r="18" spans="1:35" ht="23.1" customHeight="1" x14ac:dyDescent="0.2">
      <c r="A18" s="3">
        <v>6</v>
      </c>
      <c r="B18" s="17" t="str">
        <f>tabela_informacyjna_dla_JST!$C$9</f>
        <v>Ruda Maleniecka</v>
      </c>
      <c r="C18" s="59" t="str">
        <f>IFERROR(CONCATENATE(tabela_informacyjna_dla_JST!$D$7,"_KPP"),"brak nazwy gminy")</f>
        <v>PL2602_KPP</v>
      </c>
      <c r="D18" s="25" t="str">
        <f>IFERROR(VLOOKUP($C18,kat_zadania[],katalogi!$N$1-katalogi!$L$1,FALSE),"brak nazwy gminy")</f>
        <v>Prowadzenie kontroli przestrzegania przepisów ograniczających używanie paliw lub urządzeń do celów grzewczych oraz zakazu spalania odpadów</v>
      </c>
      <c r="E18" s="135"/>
      <c r="F18" s="141"/>
      <c r="G18" s="26">
        <f t="shared" si="2"/>
        <v>0</v>
      </c>
      <c r="H18" s="140"/>
      <c r="I18" s="140"/>
      <c r="J18" s="140"/>
      <c r="K18" s="140"/>
      <c r="L18" s="140"/>
      <c r="M18" s="140"/>
      <c r="N18" s="140"/>
      <c r="O18" s="140"/>
      <c r="P18" s="140"/>
      <c r="Q18" s="140"/>
      <c r="AI18" s="1" t="b">
        <f t="shared" si="3"/>
        <v>1</v>
      </c>
    </row>
    <row r="19" spans="1:35" ht="23.1" customHeight="1" x14ac:dyDescent="0.2">
      <c r="A19" s="3">
        <v>7</v>
      </c>
      <c r="B19" s="17" t="str">
        <f>tabela_informacyjna_dla_JST!$C$9</f>
        <v>Ruda Maleniecka</v>
      </c>
      <c r="C19" s="59" t="str">
        <f>IFERROR(CONCATENATE(tabela_informacyjna_dla_JST!$D$7,"_KPP"),"brak nazwy gminy")</f>
        <v>PL2602_KPP</v>
      </c>
      <c r="D19" s="25" t="str">
        <f>IFERROR(VLOOKUP($C19,kat_zadania[],katalogi!$N$1-katalogi!$L$1,FALSE),"brak nazwy gminy")</f>
        <v>Prowadzenie kontroli przestrzegania przepisów ograniczających używanie paliw lub urządzeń do celów grzewczych oraz zakazu spalania odpadów</v>
      </c>
      <c r="E19" s="135"/>
      <c r="F19" s="141"/>
      <c r="G19" s="26">
        <f t="shared" si="2"/>
        <v>0</v>
      </c>
      <c r="H19" s="140"/>
      <c r="I19" s="140"/>
      <c r="J19" s="140"/>
      <c r="K19" s="140"/>
      <c r="L19" s="140"/>
      <c r="M19" s="140"/>
      <c r="N19" s="140"/>
      <c r="O19" s="140"/>
      <c r="P19" s="140"/>
      <c r="Q19" s="140"/>
      <c r="AI19" s="1" t="b">
        <f t="shared" si="3"/>
        <v>1</v>
      </c>
    </row>
    <row r="20" spans="1:35" ht="23.1" customHeight="1" x14ac:dyDescent="0.2">
      <c r="A20" s="3">
        <v>8</v>
      </c>
      <c r="B20" s="17" t="str">
        <f>tabela_informacyjna_dla_JST!$C$9</f>
        <v>Ruda Maleniecka</v>
      </c>
      <c r="C20" s="59" t="str">
        <f>IFERROR(CONCATENATE(tabela_informacyjna_dla_JST!$D$7,"_KPP"),"brak nazwy gminy")</f>
        <v>PL2602_KPP</v>
      </c>
      <c r="D20" s="25" t="str">
        <f>IFERROR(VLOOKUP($C20,kat_zadania[],katalogi!$N$1-katalogi!$L$1,FALSE),"brak nazwy gminy")</f>
        <v>Prowadzenie kontroli przestrzegania przepisów ograniczających używanie paliw lub urządzeń do celów grzewczych oraz zakazu spalania odpadów</v>
      </c>
      <c r="E20" s="135"/>
      <c r="F20" s="141"/>
      <c r="G20" s="26">
        <f t="shared" si="2"/>
        <v>0</v>
      </c>
      <c r="H20" s="140"/>
      <c r="I20" s="140"/>
      <c r="J20" s="140"/>
      <c r="K20" s="140"/>
      <c r="L20" s="140"/>
      <c r="M20" s="140"/>
      <c r="N20" s="140"/>
      <c r="O20" s="140"/>
      <c r="P20" s="140"/>
      <c r="Q20" s="140"/>
      <c r="AI20" s="1" t="b">
        <f t="shared" si="3"/>
        <v>1</v>
      </c>
    </row>
    <row r="21" spans="1:35" ht="23.1" customHeight="1" x14ac:dyDescent="0.2">
      <c r="A21" s="3">
        <v>9</v>
      </c>
      <c r="B21" s="17" t="str">
        <f>tabela_informacyjna_dla_JST!$C$9</f>
        <v>Ruda Maleniecka</v>
      </c>
      <c r="C21" s="59" t="str">
        <f>IFERROR(CONCATENATE(tabela_informacyjna_dla_JST!$D$7,"_KPP"),"brak nazwy gminy")</f>
        <v>PL2602_KPP</v>
      </c>
      <c r="D21" s="25" t="str">
        <f>IFERROR(VLOOKUP($C21,kat_zadania[],katalogi!$N$1-katalogi!$L$1,FALSE),"brak nazwy gminy")</f>
        <v>Prowadzenie kontroli przestrzegania przepisów ograniczających używanie paliw lub urządzeń do celów grzewczych oraz zakazu spalania odpadów</v>
      </c>
      <c r="E21" s="135"/>
      <c r="F21" s="141"/>
      <c r="G21" s="26">
        <f t="shared" si="2"/>
        <v>0</v>
      </c>
      <c r="H21" s="140"/>
      <c r="I21" s="140"/>
      <c r="J21" s="140"/>
      <c r="K21" s="140"/>
      <c r="L21" s="140"/>
      <c r="M21" s="140"/>
      <c r="N21" s="140"/>
      <c r="O21" s="140"/>
      <c r="P21" s="140"/>
      <c r="Q21" s="140"/>
      <c r="AI21" s="1" t="b">
        <f t="shared" si="3"/>
        <v>1</v>
      </c>
    </row>
    <row r="22" spans="1:35" ht="23.1" customHeight="1" x14ac:dyDescent="0.2">
      <c r="A22" s="3">
        <v>10</v>
      </c>
      <c r="B22" s="17" t="str">
        <f>tabela_informacyjna_dla_JST!$C$9</f>
        <v>Ruda Maleniecka</v>
      </c>
      <c r="C22" s="59" t="str">
        <f>IFERROR(CONCATENATE(tabela_informacyjna_dla_JST!$D$7,"_KPP"),"brak nazwy gminy")</f>
        <v>PL2602_KPP</v>
      </c>
      <c r="D22" s="25" t="str">
        <f>IFERROR(VLOOKUP($C22,kat_zadania[],katalogi!$N$1-katalogi!$L$1,FALSE),"brak nazwy gminy")</f>
        <v>Prowadzenie kontroli przestrzegania przepisów ograniczających używanie paliw lub urządzeń do celów grzewczych oraz zakazu spalania odpadów</v>
      </c>
      <c r="E22" s="135"/>
      <c r="F22" s="141"/>
      <c r="G22" s="26">
        <f t="shared" si="2"/>
        <v>0</v>
      </c>
      <c r="H22" s="140"/>
      <c r="I22" s="140"/>
      <c r="J22" s="140"/>
      <c r="K22" s="140"/>
      <c r="L22" s="140"/>
      <c r="M22" s="140"/>
      <c r="N22" s="140"/>
      <c r="O22" s="140"/>
      <c r="P22" s="140"/>
      <c r="Q22" s="140"/>
      <c r="AI22" s="1" t="b">
        <f t="shared" si="3"/>
        <v>1</v>
      </c>
    </row>
  </sheetData>
  <sheetProtection formatCells="0" formatRows="0" sort="0" autoFilter="0" pivotTables="0"/>
  <mergeCells count="11">
    <mergeCell ref="F8:F9"/>
    <mergeCell ref="E8:E10"/>
    <mergeCell ref="A8:A10"/>
    <mergeCell ref="B8:B10"/>
    <mergeCell ref="C8:C10"/>
    <mergeCell ref="D8:D10"/>
    <mergeCell ref="G8:G9"/>
    <mergeCell ref="H8:Q8"/>
    <mergeCell ref="H9:L9"/>
    <mergeCell ref="M9:Q9"/>
    <mergeCell ref="G6:Q6"/>
  </mergeCells>
  <conditionalFormatting sqref="B13:B22">
    <cfRule type="cellIs" dxfId="5" priority="2" operator="equal">
      <formula>0</formula>
    </cfRule>
  </conditionalFormatting>
  <conditionalFormatting sqref="F13:F22">
    <cfRule type="expression" dxfId="4" priority="1">
      <formula>$E13="rutynowe"</formula>
    </cfRule>
  </conditionalFormatting>
  <dataValidations count="3">
    <dataValidation type="list" allowBlank="1" showInputMessage="1" showErrorMessage="1" sqref="E13:E22">
      <formula1>"rutynowe,PDK Poziom II, PDK Poziom III"</formula1>
    </dataValidation>
    <dataValidation type="whole" operator="greaterThanOrEqual" allowBlank="1" showInputMessage="1" showErrorMessage="1" error="Proszę podać wartość liczbową!" sqref="H13:Q22">
      <formula1>0</formula1>
    </dataValidation>
    <dataValidation type="date" allowBlank="1" showInputMessage="1" showErrorMessage="1" sqref="F13:F22">
      <formula1>44075</formula1>
      <formula2>46387</formula2>
    </dataValidation>
  </dataValidation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18"/>
  <sheetViews>
    <sheetView zoomScaleNormal="100" workbookViewId="0">
      <selection activeCell="E14" sqref="E14"/>
    </sheetView>
  </sheetViews>
  <sheetFormatPr defaultColWidth="9.140625" defaultRowHeight="12" x14ac:dyDescent="0.2"/>
  <cols>
    <col min="1" max="1" width="4" style="1" customWidth="1"/>
    <col min="2" max="3" width="38.85546875" style="1" customWidth="1"/>
    <col min="4" max="4" width="6" style="1" hidden="1" customWidth="1"/>
    <col min="5" max="5" width="41.140625" style="1" bestFit="1" customWidth="1"/>
    <col min="6" max="6" width="5.7109375" style="1" hidden="1" customWidth="1"/>
    <col min="7" max="7" width="39" style="1" bestFit="1" customWidth="1"/>
    <col min="8" max="8" width="6" style="1" hidden="1" customWidth="1"/>
    <col min="9" max="9" width="3.42578125" style="1" customWidth="1"/>
    <col min="10" max="10" width="21.28515625" style="1" bestFit="1" customWidth="1"/>
    <col min="11" max="11" width="51" style="1" bestFit="1" customWidth="1"/>
    <col min="12" max="16384" width="9.140625" style="1"/>
  </cols>
  <sheetData>
    <row r="1" spans="1:11" ht="15.75" customHeight="1" x14ac:dyDescent="0.2">
      <c r="A1" s="163"/>
      <c r="B1" s="163"/>
      <c r="C1" s="163"/>
      <c r="D1" s="163"/>
      <c r="E1" s="163"/>
      <c r="F1" s="51"/>
      <c r="G1" s="48"/>
    </row>
    <row r="2" spans="1:11" ht="33" customHeight="1" x14ac:dyDescent="0.2">
      <c r="B2" s="52" t="s">
        <v>325</v>
      </c>
      <c r="C2" s="142" t="s">
        <v>514</v>
      </c>
      <c r="D2" s="142"/>
      <c r="E2" s="49" t="s">
        <v>496</v>
      </c>
      <c r="F2" s="49"/>
      <c r="G2" s="49" t="s">
        <v>491</v>
      </c>
    </row>
    <row r="3" spans="1:11" ht="12" customHeight="1" x14ac:dyDescent="0.2">
      <c r="A3" s="165" t="s">
        <v>12</v>
      </c>
      <c r="B3" s="165"/>
      <c r="C3" s="165"/>
      <c r="D3" s="165"/>
      <c r="E3" s="165"/>
      <c r="F3" s="165"/>
      <c r="G3" s="165"/>
    </row>
    <row r="4" spans="1:11" ht="24" x14ac:dyDescent="0.2">
      <c r="A4" s="47" t="s">
        <v>7</v>
      </c>
      <c r="B4" s="47" t="s">
        <v>10</v>
      </c>
      <c r="C4" s="47"/>
      <c r="D4" s="54" t="s">
        <v>326</v>
      </c>
      <c r="E4" s="47" t="s">
        <v>495</v>
      </c>
      <c r="F4" s="54" t="s">
        <v>326</v>
      </c>
      <c r="G4" s="47" t="s">
        <v>490</v>
      </c>
      <c r="H4" s="54" t="s">
        <v>326</v>
      </c>
    </row>
    <row r="5" spans="1:11" ht="15" x14ac:dyDescent="0.2">
      <c r="A5" s="10">
        <v>1</v>
      </c>
      <c r="B5" s="11" t="s">
        <v>322</v>
      </c>
      <c r="C5" s="24"/>
      <c r="D5" s="55"/>
      <c r="E5" s="24">
        <v>2022</v>
      </c>
      <c r="F5" s="55"/>
      <c r="G5" s="24"/>
      <c r="H5" s="55"/>
      <c r="J5" s="128" t="s">
        <v>497</v>
      </c>
      <c r="K5" s="122" t="s">
        <v>498</v>
      </c>
    </row>
    <row r="6" spans="1:11" ht="15" x14ac:dyDescent="0.2">
      <c r="A6" s="10">
        <v>2</v>
      </c>
      <c r="B6" s="11" t="s">
        <v>8</v>
      </c>
      <c r="C6" s="9" t="s">
        <v>64</v>
      </c>
      <c r="D6" s="53"/>
      <c r="E6" s="9" t="s">
        <v>64</v>
      </c>
      <c r="F6" s="53"/>
      <c r="G6" s="9" t="s">
        <v>64</v>
      </c>
      <c r="H6" s="53"/>
      <c r="J6" s="128" t="s">
        <v>475</v>
      </c>
      <c r="K6" s="122" t="s">
        <v>477</v>
      </c>
    </row>
    <row r="7" spans="1:11" ht="15" x14ac:dyDescent="0.2">
      <c r="A7" s="10">
        <v>3</v>
      </c>
      <c r="B7" s="11" t="s">
        <v>18</v>
      </c>
      <c r="C7" s="9" t="str">
        <f>IFERROR(CONCATENATE(VLOOKUP($D$8,powiaty_26[],katalogi!$E$1,FALSE)," (",VLOOKUP($D$8,powiaty_26[],katalogi!$D$1,FALSE),")"),"")</f>
        <v/>
      </c>
      <c r="D7" s="53" t="e">
        <f>VLOOKUP($D$8,powiaty_26[],katalogi!$D$1,FALSE)</f>
        <v>#N/A</v>
      </c>
      <c r="E7" s="9" t="str">
        <f>IFERROR(CONCATENATE(VLOOKUP($F$9,gminy_26[],katalog_gmin_PL26!$G$1,FALSE)," (",VLOOKUP($F$9,gminy_26[],katalog_gmin_PL26!$F$1,FALSE),")"),"brak nazwy gminy")</f>
        <v>brak nazwy gminy</v>
      </c>
      <c r="F7" s="53" t="e">
        <f>VLOOKUP($F$9,gminy_26[],katalog_gmin_PL26!$F$1,FALSE)</f>
        <v>#N/A</v>
      </c>
      <c r="G7" s="9" t="str">
        <f>IFERROR(CONCATENATE(VLOOKUP($H$8,powiaty_26[],katalogi!$E$1,FALSE)," (",VLOOKUP($H$8,powiaty_26[],katalogi!$D$1,FALSE),")"),"")</f>
        <v/>
      </c>
      <c r="H7" s="53" t="e">
        <f>VLOOKUP($H$8,powiaty_26[],katalogi!$D$1,FALSE)</f>
        <v>#N/A</v>
      </c>
      <c r="J7" s="128" t="s">
        <v>476</v>
      </c>
      <c r="K7" s="122" t="s">
        <v>483</v>
      </c>
    </row>
    <row r="8" spans="1:11" x14ac:dyDescent="0.2">
      <c r="A8" s="10">
        <v>4</v>
      </c>
      <c r="B8" s="11" t="s">
        <v>531</v>
      </c>
      <c r="C8" s="57"/>
      <c r="D8" s="53" t="e">
        <f>VLOOKUP(C8,powiaty_26[[powiat]:[kod powiatu2]],2,FALSE)</f>
        <v>#N/A</v>
      </c>
      <c r="E8" s="9" t="str">
        <f>IFERROR(VLOOKUP($F$9,gminy_26[],katalog_gmin_PL26!$E$1,FALSE),"brak nazwy gminy")</f>
        <v>brak nazwy gminy</v>
      </c>
      <c r="F8" s="53"/>
      <c r="G8" s="57"/>
      <c r="H8" s="53" t="e">
        <f>VLOOKUP(G8,powiaty_26[[powiat]:[kod powiatu2]],2,FALSE)</f>
        <v>#N/A</v>
      </c>
    </row>
    <row r="9" spans="1:11" ht="36" x14ac:dyDescent="0.2">
      <c r="A9" s="10">
        <v>5</v>
      </c>
      <c r="B9" s="28" t="s">
        <v>541</v>
      </c>
      <c r="C9" s="115" t="s">
        <v>459</v>
      </c>
      <c r="D9" s="53"/>
      <c r="E9" s="23"/>
      <c r="F9" s="53" t="e">
        <f>VLOOKUP($E$9,gminy_26[[nazwa gminy]:[kod gminy2]],2,FALSE)</f>
        <v>#N/A</v>
      </c>
      <c r="G9" s="115" t="s">
        <v>459</v>
      </c>
      <c r="H9" s="53"/>
    </row>
    <row r="10" spans="1:11" ht="24.6" customHeight="1" x14ac:dyDescent="0.2">
      <c r="A10" s="72" t="s">
        <v>63</v>
      </c>
      <c r="B10" s="73" t="s">
        <v>539</v>
      </c>
      <c r="C10" s="50"/>
      <c r="D10" s="53"/>
      <c r="E10" s="50" t="s">
        <v>556</v>
      </c>
      <c r="F10" s="53"/>
      <c r="G10" s="50"/>
      <c r="H10" s="53"/>
    </row>
    <row r="11" spans="1:11" ht="24" x14ac:dyDescent="0.2">
      <c r="A11" s="10">
        <v>6</v>
      </c>
      <c r="B11" s="11" t="s">
        <v>13</v>
      </c>
      <c r="C11" s="9" t="s">
        <v>65</v>
      </c>
      <c r="D11" s="53"/>
      <c r="E11" s="9" t="s">
        <v>65</v>
      </c>
      <c r="F11" s="53"/>
      <c r="G11" s="9" t="s">
        <v>65</v>
      </c>
      <c r="H11" s="53"/>
    </row>
    <row r="12" spans="1:11" x14ac:dyDescent="0.2">
      <c r="A12" s="10">
        <v>7</v>
      </c>
      <c r="B12" s="11" t="s">
        <v>14</v>
      </c>
      <c r="C12" s="9" t="s">
        <v>540</v>
      </c>
      <c r="D12" s="53"/>
      <c r="E12" s="9" t="s">
        <v>540</v>
      </c>
      <c r="F12" s="53"/>
      <c r="G12" s="9" t="s">
        <v>540</v>
      </c>
      <c r="H12" s="53"/>
    </row>
    <row r="13" spans="1:11" x14ac:dyDescent="0.2">
      <c r="A13" s="10">
        <v>8</v>
      </c>
      <c r="B13" s="11" t="s">
        <v>500</v>
      </c>
      <c r="C13" s="22"/>
      <c r="D13" s="56"/>
      <c r="E13" s="22" t="s">
        <v>557</v>
      </c>
      <c r="F13" s="56"/>
      <c r="G13" s="22"/>
      <c r="H13" s="56"/>
    </row>
    <row r="14" spans="1:11" ht="24" x14ac:dyDescent="0.2">
      <c r="A14" s="10">
        <v>9</v>
      </c>
      <c r="B14" s="11" t="s">
        <v>323</v>
      </c>
      <c r="C14" s="22"/>
      <c r="D14" s="56"/>
      <c r="E14" s="153">
        <v>413731594</v>
      </c>
      <c r="F14" s="56"/>
      <c r="G14" s="22"/>
      <c r="H14" s="56"/>
    </row>
    <row r="15" spans="1:11" x14ac:dyDescent="0.2">
      <c r="A15" s="10">
        <v>10</v>
      </c>
      <c r="B15" s="11" t="s">
        <v>15</v>
      </c>
      <c r="C15" s="22"/>
      <c r="D15" s="56"/>
      <c r="E15" s="22"/>
      <c r="F15" s="56"/>
      <c r="G15" s="22"/>
      <c r="H15" s="56"/>
    </row>
    <row r="16" spans="1:11" x14ac:dyDescent="0.2">
      <c r="A16" s="10">
        <v>11</v>
      </c>
      <c r="B16" s="11" t="s">
        <v>324</v>
      </c>
      <c r="C16" s="22"/>
      <c r="D16" s="56"/>
      <c r="E16" s="22"/>
      <c r="F16" s="56"/>
      <c r="G16" s="22"/>
      <c r="H16" s="56"/>
    </row>
    <row r="17" spans="1:8" x14ac:dyDescent="0.2">
      <c r="A17" s="10">
        <v>12</v>
      </c>
      <c r="B17" s="11" t="s">
        <v>9</v>
      </c>
      <c r="C17" s="22"/>
      <c r="D17" s="56"/>
      <c r="E17" s="22"/>
      <c r="F17" s="56"/>
      <c r="G17" s="22"/>
      <c r="H17" s="56"/>
    </row>
    <row r="18" spans="1:8" x14ac:dyDescent="0.2">
      <c r="B18" s="1" t="s">
        <v>321</v>
      </c>
    </row>
  </sheetData>
  <mergeCells count="2">
    <mergeCell ref="A3:G3"/>
    <mergeCell ref="A1:E1"/>
  </mergeCells>
  <dataValidations count="3">
    <dataValidation type="list" allowBlank="1" showInputMessage="1" showErrorMessage="1" sqref="E9">
      <formula1>nazwy_gmin</formula1>
    </dataValidation>
    <dataValidation type="list" allowBlank="1" showInputMessage="1" showErrorMessage="1" sqref="C5:G5">
      <formula1>"2020,2021,2022,2023,2024,2025,2026"</formula1>
    </dataValidation>
    <dataValidation type="list" allowBlank="1" showInputMessage="1" showErrorMessage="1" sqref="G8 C8">
      <formula1>Powiaty</formula1>
    </dataValidation>
  </dataValidations>
  <hyperlinks>
    <hyperlink ref="J6" location="tab.2_EE_org!A1" tooltip="Tabela edukacja - organizacje" display="tab.2_EE_org"/>
    <hyperlink ref="J7" location="tab.4_BDO!A1" tooltip="Tabela drogi (BDO)" display="tab.4_BDO"/>
    <hyperlink ref="J5" location="tab.1_ZSO_zarządcy!A1" display="tab.1_ZSO_zarządcy"/>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U20"/>
  <sheetViews>
    <sheetView zoomScale="80" zoomScaleNormal="80" workbookViewId="0">
      <pane xSplit="4" ySplit="10" topLeftCell="E11" activePane="bottomRight" state="frozen"/>
      <selection pane="topRight" activeCell="D1" sqref="D1"/>
      <selection pane="bottomLeft" activeCell="A8" sqref="A8"/>
      <selection pane="bottomRight" activeCell="B12" sqref="B12"/>
    </sheetView>
  </sheetViews>
  <sheetFormatPr defaultColWidth="9.140625" defaultRowHeight="12" x14ac:dyDescent="0.2"/>
  <cols>
    <col min="1" max="1" width="4.42578125" style="1" customWidth="1"/>
    <col min="2" max="2" width="12.140625" style="1" customWidth="1"/>
    <col min="3" max="3" width="14.140625" style="1" customWidth="1"/>
    <col min="4" max="4" width="13.140625" style="1" customWidth="1"/>
    <col min="5" max="5" width="37.7109375" style="1" customWidth="1"/>
    <col min="6" max="6" width="29.7109375" style="1" customWidth="1"/>
    <col min="7" max="7" width="15.140625" style="1" customWidth="1"/>
    <col min="8" max="8" width="31.7109375" style="1" customWidth="1"/>
    <col min="9" max="9" width="15.28515625" style="1" customWidth="1"/>
    <col min="10" max="10" width="12.28515625" style="1" customWidth="1"/>
    <col min="11" max="13" width="10.7109375" style="1" customWidth="1"/>
    <col min="14" max="14" width="12.85546875" style="1" customWidth="1"/>
    <col min="15" max="15" width="23" style="1" customWidth="1"/>
    <col min="16" max="16" width="41.28515625" style="1" customWidth="1"/>
    <col min="17" max="17" width="25.28515625" style="1" customWidth="1"/>
    <col min="18" max="18" width="9.140625" style="1"/>
    <col min="19" max="19" width="9" style="1" hidden="1" customWidth="1"/>
    <col min="20" max="20" width="8.28515625" style="1" hidden="1" customWidth="1"/>
    <col min="21" max="21" width="7.85546875" style="1" hidden="1" customWidth="1"/>
    <col min="22" max="16384" width="9.140625" style="1"/>
  </cols>
  <sheetData>
    <row r="1" spans="1:21" ht="15.75" thickBot="1" x14ac:dyDescent="0.25">
      <c r="A1" s="149" t="s">
        <v>535</v>
      </c>
    </row>
    <row r="2" spans="1:21" ht="16.5" thickBot="1" x14ac:dyDescent="0.25">
      <c r="C2" s="74"/>
      <c r="D2" s="111"/>
      <c r="E2" s="112" t="s">
        <v>384</v>
      </c>
      <c r="F2" s="61" t="str">
        <f>IF(tabela_informacyjna_dla_innych!$C$5=0,"brak roku sprawozdawczego",tabela_informacyjna_dla_innych!$C$5)</f>
        <v>brak roku sprawozdawczego</v>
      </c>
    </row>
    <row r="3" spans="1:21" ht="15.75" x14ac:dyDescent="0.2">
      <c r="G3" s="62"/>
      <c r="H3" s="62"/>
      <c r="I3" s="62"/>
      <c r="J3" s="62"/>
      <c r="K3" s="62"/>
      <c r="L3" s="62"/>
      <c r="M3" s="62"/>
      <c r="N3" s="62"/>
      <c r="S3" s="62"/>
    </row>
    <row r="4" spans="1:21" ht="15.75" x14ac:dyDescent="0.2">
      <c r="G4" s="62"/>
      <c r="H4" s="62"/>
      <c r="I4" s="171" t="s">
        <v>345</v>
      </c>
      <c r="J4" s="172"/>
      <c r="K4" s="172"/>
      <c r="L4" s="172"/>
      <c r="M4" s="172"/>
      <c r="N4" s="172"/>
      <c r="O4" s="173"/>
      <c r="S4" s="62"/>
    </row>
    <row r="5" spans="1:21" ht="15.75" x14ac:dyDescent="0.2">
      <c r="G5" s="62"/>
      <c r="H5" s="62"/>
      <c r="I5" s="96" t="s">
        <v>29</v>
      </c>
      <c r="J5" s="96" t="s">
        <v>30</v>
      </c>
      <c r="K5" s="96" t="s">
        <v>52</v>
      </c>
      <c r="L5" s="96" t="s">
        <v>52</v>
      </c>
      <c r="M5" s="96" t="s">
        <v>52</v>
      </c>
      <c r="N5" s="97"/>
      <c r="O5" s="97"/>
      <c r="S5" s="62"/>
    </row>
    <row r="6" spans="1:21" ht="22.15" customHeight="1" x14ac:dyDescent="0.2">
      <c r="A6" s="12" t="s">
        <v>429</v>
      </c>
      <c r="E6" s="13"/>
      <c r="F6" s="13"/>
      <c r="G6" s="13"/>
      <c r="H6" s="13"/>
      <c r="I6" s="114">
        <f t="shared" ref="I6:M6" si="0">SUM(I11:I20)</f>
        <v>0</v>
      </c>
      <c r="J6" s="114">
        <f t="shared" si="0"/>
        <v>0</v>
      </c>
      <c r="K6" s="108">
        <f t="shared" si="0"/>
        <v>0</v>
      </c>
      <c r="L6" s="108">
        <f t="shared" si="0"/>
        <v>0</v>
      </c>
      <c r="M6" s="78">
        <f t="shared" si="0"/>
        <v>0</v>
      </c>
      <c r="N6" s="64">
        <f>SUM(N11:N20)</f>
        <v>0</v>
      </c>
      <c r="O6" s="64">
        <f>SUM(O11:O20)</f>
        <v>0</v>
      </c>
      <c r="P6" s="13"/>
      <c r="Q6" s="13"/>
      <c r="S6" s="62"/>
    </row>
    <row r="7" spans="1:21" ht="18" customHeight="1" x14ac:dyDescent="0.2">
      <c r="A7" s="166" t="s">
        <v>7</v>
      </c>
      <c r="B7" s="166" t="s">
        <v>452</v>
      </c>
      <c r="C7" s="166" t="s">
        <v>0</v>
      </c>
      <c r="D7" s="166" t="s">
        <v>25</v>
      </c>
      <c r="E7" s="166" t="s">
        <v>26</v>
      </c>
      <c r="F7" s="166" t="s">
        <v>21</v>
      </c>
      <c r="G7" s="166" t="s">
        <v>20</v>
      </c>
      <c r="H7" s="174" t="s">
        <v>418</v>
      </c>
      <c r="I7" s="174"/>
      <c r="J7" s="174"/>
      <c r="K7" s="175" t="s">
        <v>428</v>
      </c>
      <c r="L7" s="176"/>
      <c r="M7" s="177"/>
      <c r="N7" s="166" t="s">
        <v>422</v>
      </c>
      <c r="O7" s="169" t="s">
        <v>423</v>
      </c>
      <c r="P7" s="166" t="s">
        <v>22</v>
      </c>
      <c r="Q7" s="133" t="s">
        <v>461</v>
      </c>
      <c r="S7" s="168" t="s">
        <v>326</v>
      </c>
      <c r="T7" s="168"/>
      <c r="U7" s="168"/>
    </row>
    <row r="8" spans="1:21" ht="51" customHeight="1" x14ac:dyDescent="0.2">
      <c r="A8" s="167"/>
      <c r="B8" s="167"/>
      <c r="C8" s="167"/>
      <c r="D8" s="167"/>
      <c r="E8" s="167"/>
      <c r="F8" s="167"/>
      <c r="G8" s="167"/>
      <c r="H8" s="77" t="s">
        <v>449</v>
      </c>
      <c r="I8" s="134" t="s">
        <v>503</v>
      </c>
      <c r="J8" s="134" t="s">
        <v>419</v>
      </c>
      <c r="K8" s="134" t="s">
        <v>36</v>
      </c>
      <c r="L8" s="134" t="s">
        <v>37</v>
      </c>
      <c r="M8" s="134" t="s">
        <v>40</v>
      </c>
      <c r="N8" s="167"/>
      <c r="O8" s="170"/>
      <c r="P8" s="167"/>
      <c r="Q8" s="116" t="s">
        <v>462</v>
      </c>
      <c r="S8" s="110" t="s">
        <v>421</v>
      </c>
      <c r="T8" s="110" t="s">
        <v>6</v>
      </c>
      <c r="U8" s="110" t="s">
        <v>2</v>
      </c>
    </row>
    <row r="9" spans="1:21" x14ac:dyDescent="0.2">
      <c r="A9" s="19">
        <v>1</v>
      </c>
      <c r="B9" s="19">
        <f>A9+1</f>
        <v>2</v>
      </c>
      <c r="C9" s="19">
        <f>B9+1</f>
        <v>3</v>
      </c>
      <c r="D9" s="19">
        <f>C9+1</f>
        <v>4</v>
      </c>
      <c r="E9" s="19">
        <f t="shared" ref="E9:Q9" si="1">D9+1</f>
        <v>5</v>
      </c>
      <c r="F9" s="19">
        <f t="shared" si="1"/>
        <v>6</v>
      </c>
      <c r="G9" s="19">
        <f t="shared" si="1"/>
        <v>7</v>
      </c>
      <c r="H9" s="19">
        <f t="shared" si="1"/>
        <v>8</v>
      </c>
      <c r="I9" s="19">
        <f t="shared" si="1"/>
        <v>9</v>
      </c>
      <c r="J9" s="19">
        <f t="shared" si="1"/>
        <v>10</v>
      </c>
      <c r="K9" s="19">
        <f t="shared" si="1"/>
        <v>11</v>
      </c>
      <c r="L9" s="19">
        <f t="shared" si="1"/>
        <v>12</v>
      </c>
      <c r="M9" s="19">
        <f t="shared" si="1"/>
        <v>13</v>
      </c>
      <c r="N9" s="19">
        <f t="shared" si="1"/>
        <v>14</v>
      </c>
      <c r="O9" s="19">
        <f t="shared" si="1"/>
        <v>15</v>
      </c>
      <c r="P9" s="19">
        <f t="shared" si="1"/>
        <v>16</v>
      </c>
      <c r="Q9" s="19">
        <f t="shared" si="1"/>
        <v>17</v>
      </c>
      <c r="S9" s="91" t="s">
        <v>453</v>
      </c>
      <c r="T9" s="91" t="s">
        <v>454</v>
      </c>
      <c r="U9" s="91" t="s">
        <v>455</v>
      </c>
    </row>
    <row r="10" spans="1:21" ht="78.75" x14ac:dyDescent="0.2">
      <c r="A10" s="15"/>
      <c r="B10" s="15" t="s">
        <v>489</v>
      </c>
      <c r="C10" s="18" t="s">
        <v>499</v>
      </c>
      <c r="D10" s="18" t="s">
        <v>39</v>
      </c>
      <c r="E10" s="18" t="s">
        <v>39</v>
      </c>
      <c r="F10" s="15" t="s">
        <v>23</v>
      </c>
      <c r="G10" s="15" t="s">
        <v>417</v>
      </c>
      <c r="H10" s="15" t="s">
        <v>420</v>
      </c>
      <c r="I10" s="14" t="s">
        <v>451</v>
      </c>
      <c r="J10" s="14" t="s">
        <v>450</v>
      </c>
      <c r="K10" s="18" t="s">
        <v>39</v>
      </c>
      <c r="L10" s="18" t="s">
        <v>39</v>
      </c>
      <c r="M10" s="18" t="s">
        <v>39</v>
      </c>
      <c r="N10" s="16" t="s">
        <v>24</v>
      </c>
      <c r="O10" s="16" t="s">
        <v>34</v>
      </c>
      <c r="P10" s="16" t="s">
        <v>510</v>
      </c>
      <c r="Q10" s="18" t="s">
        <v>460</v>
      </c>
      <c r="S10" s="92" t="s">
        <v>326</v>
      </c>
      <c r="T10" s="92" t="s">
        <v>326</v>
      </c>
      <c r="U10" s="92" t="s">
        <v>326</v>
      </c>
    </row>
    <row r="11" spans="1:21" ht="24" x14ac:dyDescent="0.2">
      <c r="A11" s="3">
        <v>1</v>
      </c>
      <c r="B11" s="139"/>
      <c r="C11" s="132">
        <f>tabela_informacyjna_dla_innych!$C$8</f>
        <v>0</v>
      </c>
      <c r="D11" s="59" t="str">
        <f>IFERROR(CONCATENATE($U11,"_ZSO"),"brak nazwy gminy")</f>
        <v>brak nazwy gminy</v>
      </c>
      <c r="E11" s="25" t="str">
        <f>IFERROR(VLOOKUP($D11,kat_zadania[],katalogi!$N$1-katalogi!$L$1,FALSE),"brak nazwy gminy")</f>
        <v>brak nazwy gminy</v>
      </c>
      <c r="F11" s="34"/>
      <c r="G11" s="34"/>
      <c r="H11" s="34"/>
      <c r="I11" s="136"/>
      <c r="J11" s="136"/>
      <c r="K11" s="90" t="str">
        <f>IFERROR(VLOOKUP($S11,kat_wsk_efektu[],wskaźniki_efektu!C$1,FALSE)*$I11/1000,"")</f>
        <v/>
      </c>
      <c r="L11" s="90" t="str">
        <f>IFERROR(VLOOKUP($S11,kat_wsk_efektu[],wskaźniki_efektu!D$1,FALSE)*$I11/1000,"")</f>
        <v/>
      </c>
      <c r="M11" s="90" t="str">
        <f>IFERROR(VLOOKUP($S11,kat_wsk_efektu[],wskaźniki_efektu!E$1,FALSE)*$I11/1000,"")</f>
        <v/>
      </c>
      <c r="N11" s="137"/>
      <c r="O11" s="137"/>
      <c r="P11" s="138"/>
      <c r="Q11" s="121" t="str">
        <f>IFERROR(VLOOKUP($T11,gminy_26[],(katalog_gmin_PL26!$I$1+$F$2-2020),FALSE),"brak nazwy gminy w kolumnie 2")</f>
        <v>brak nazwy gminy w kolumnie 2</v>
      </c>
      <c r="S11" s="93" t="str">
        <f>IFERROR(VLOOKUP($H11,wskaźniki_efektu!$B$21:$C$34,wskaźniki_efektu!$C$1-wskaźniki_efektu!$A$1,FALSE),"")</f>
        <v/>
      </c>
      <c r="T11" s="109" t="e">
        <f>VLOOKUP($B11,gminy_26[[nazwa gminy]:[kod gminy2]],2,FALSE)</f>
        <v>#N/A</v>
      </c>
      <c r="U11" s="109" t="e">
        <f>VLOOKUP($T11,gminy_26[],katalog_gmin_PL26!$F$1,FALSE)</f>
        <v>#N/A</v>
      </c>
    </row>
    <row r="12" spans="1:21" ht="24" x14ac:dyDescent="0.2">
      <c r="A12" s="3">
        <v>2</v>
      </c>
      <c r="B12" s="139"/>
      <c r="C12" s="132">
        <f>tabela_informacyjna_dla_innych!$C$8</f>
        <v>0</v>
      </c>
      <c r="D12" s="59" t="str">
        <f t="shared" ref="D12:D20" si="2">IFERROR(CONCATENATE($U12,"_ZSO"),"brak nazwy gminy")</f>
        <v>brak nazwy gminy</v>
      </c>
      <c r="E12" s="25" t="str">
        <f>IFERROR(VLOOKUP($D12,kat_zadania[],katalogi!$N$1-katalogi!$L$1,FALSE),"brak nazwy gminy")</f>
        <v>brak nazwy gminy</v>
      </c>
      <c r="F12" s="34"/>
      <c r="G12" s="34"/>
      <c r="H12" s="34"/>
      <c r="I12" s="136"/>
      <c r="J12" s="136"/>
      <c r="K12" s="90" t="str">
        <f>IFERROR(VLOOKUP($S12,kat_wsk_efektu[],wskaźniki_efektu!C$1,FALSE)*$I12/1000,"")</f>
        <v/>
      </c>
      <c r="L12" s="90" t="str">
        <f>IFERROR(VLOOKUP($S12,kat_wsk_efektu[],wskaźniki_efektu!D$1,FALSE)*$I12/1000,"")</f>
        <v/>
      </c>
      <c r="M12" s="90" t="str">
        <f>IFERROR(VLOOKUP($S12,kat_wsk_efektu[],wskaźniki_efektu!E$1,FALSE)*$I12/1000,"")</f>
        <v/>
      </c>
      <c r="N12" s="137"/>
      <c r="O12" s="137"/>
      <c r="P12" s="138"/>
      <c r="Q12" s="121" t="str">
        <f>IFERROR(VLOOKUP($T12,gminy_26[],(katalog_gmin_PL26!$I$1+$F$2-2020),FALSE),"brak nazwy gminy w kolumnie 2")</f>
        <v>brak nazwy gminy w kolumnie 2</v>
      </c>
      <c r="S12" s="93" t="str">
        <f>IFERROR(VLOOKUP($H12,wskaźniki_efektu!$B$21:$C$34,wskaźniki_efektu!$C$1-wskaźniki_efektu!$A$1,FALSE),"")</f>
        <v/>
      </c>
      <c r="T12" s="109" t="e">
        <f>VLOOKUP($B12,gminy_26[[nazwa gminy]:[kod gminy2]],2,FALSE)</f>
        <v>#N/A</v>
      </c>
      <c r="U12" s="109" t="e">
        <f>VLOOKUP($T12,gminy_26[],katalog_gmin_PL26!$F$1,FALSE)</f>
        <v>#N/A</v>
      </c>
    </row>
    <row r="13" spans="1:21" ht="24" x14ac:dyDescent="0.2">
      <c r="A13" s="3">
        <v>3</v>
      </c>
      <c r="B13" s="139"/>
      <c r="C13" s="132">
        <f>tabela_informacyjna_dla_innych!$C$8</f>
        <v>0</v>
      </c>
      <c r="D13" s="59" t="str">
        <f t="shared" si="2"/>
        <v>brak nazwy gminy</v>
      </c>
      <c r="E13" s="25" t="str">
        <f>IFERROR(VLOOKUP($D13,kat_zadania[],katalogi!$N$1-katalogi!$L$1,FALSE),"brak nazwy gminy")</f>
        <v>brak nazwy gminy</v>
      </c>
      <c r="F13" s="34"/>
      <c r="G13" s="34"/>
      <c r="H13" s="34"/>
      <c r="I13" s="136"/>
      <c r="J13" s="136"/>
      <c r="K13" s="90" t="str">
        <f>IFERROR(VLOOKUP($S13,kat_wsk_efektu[],wskaźniki_efektu!C$1,FALSE)*$I13/1000,"")</f>
        <v/>
      </c>
      <c r="L13" s="90" t="str">
        <f>IFERROR(VLOOKUP($S13,kat_wsk_efektu[],wskaźniki_efektu!D$1,FALSE)*$I13/1000,"")</f>
        <v/>
      </c>
      <c r="M13" s="90" t="str">
        <f>IFERROR(VLOOKUP($S13,kat_wsk_efektu[],wskaźniki_efektu!E$1,FALSE)*$I13/1000,"")</f>
        <v/>
      </c>
      <c r="N13" s="137"/>
      <c r="O13" s="137"/>
      <c r="P13" s="138"/>
      <c r="Q13" s="121" t="str">
        <f>IFERROR(VLOOKUP($T13,gminy_26[],(katalog_gmin_PL26!$I$1+$F$2-2020),FALSE),"brak nazwy gminy w kolumnie 2")</f>
        <v>brak nazwy gminy w kolumnie 2</v>
      </c>
      <c r="S13" s="93" t="str">
        <f>IFERROR(VLOOKUP($H13,wskaźniki_efektu!$B$21:$C$34,wskaźniki_efektu!$C$1-wskaźniki_efektu!$A$1,FALSE),"")</f>
        <v/>
      </c>
      <c r="T13" s="109" t="e">
        <f>VLOOKUP($B13,gminy_26[[nazwa gminy]:[kod gminy2]],2,FALSE)</f>
        <v>#N/A</v>
      </c>
      <c r="U13" s="109" t="e">
        <f>VLOOKUP($T13,gminy_26[],katalog_gmin_PL26!$F$1,FALSE)</f>
        <v>#N/A</v>
      </c>
    </row>
    <row r="14" spans="1:21" ht="24" x14ac:dyDescent="0.2">
      <c r="A14" s="3">
        <v>4</v>
      </c>
      <c r="B14" s="139"/>
      <c r="C14" s="132">
        <f>tabela_informacyjna_dla_innych!$C$8</f>
        <v>0</v>
      </c>
      <c r="D14" s="59" t="str">
        <f t="shared" si="2"/>
        <v>brak nazwy gminy</v>
      </c>
      <c r="E14" s="25" t="str">
        <f>IFERROR(VLOOKUP($D14,kat_zadania[],katalogi!$N$1-katalogi!$L$1,FALSE),"brak nazwy gminy")</f>
        <v>brak nazwy gminy</v>
      </c>
      <c r="F14" s="34"/>
      <c r="G14" s="34"/>
      <c r="H14" s="34"/>
      <c r="I14" s="136"/>
      <c r="J14" s="136"/>
      <c r="K14" s="90" t="str">
        <f>IFERROR(VLOOKUP($S14,kat_wsk_efektu[],wskaźniki_efektu!C$1,FALSE)*$I14/1000,"")</f>
        <v/>
      </c>
      <c r="L14" s="90" t="str">
        <f>IFERROR(VLOOKUP($S14,kat_wsk_efektu[],wskaźniki_efektu!D$1,FALSE)*$I14/1000,"")</f>
        <v/>
      </c>
      <c r="M14" s="90" t="str">
        <f>IFERROR(VLOOKUP($S14,kat_wsk_efektu[],wskaźniki_efektu!E$1,FALSE)*$I14/1000,"")</f>
        <v/>
      </c>
      <c r="N14" s="137"/>
      <c r="O14" s="137"/>
      <c r="P14" s="138"/>
      <c r="Q14" s="121" t="str">
        <f>IFERROR(VLOOKUP($T14,gminy_26[],(katalog_gmin_PL26!$I$1+$F$2-2020),FALSE),"brak nazwy gminy w kolumnie 2")</f>
        <v>brak nazwy gminy w kolumnie 2</v>
      </c>
      <c r="S14" s="93" t="str">
        <f>IFERROR(VLOOKUP($H14,wskaźniki_efektu!$B$21:$C$34,wskaźniki_efektu!$C$1-wskaźniki_efektu!$A$1,FALSE),"")</f>
        <v/>
      </c>
      <c r="T14" s="109" t="e">
        <f>VLOOKUP($B14,gminy_26[[nazwa gminy]:[kod gminy2]],2,FALSE)</f>
        <v>#N/A</v>
      </c>
      <c r="U14" s="109" t="e">
        <f>VLOOKUP($T14,gminy_26[],katalog_gmin_PL26!$F$1,FALSE)</f>
        <v>#N/A</v>
      </c>
    </row>
    <row r="15" spans="1:21" ht="24" x14ac:dyDescent="0.2">
      <c r="A15" s="3">
        <v>5</v>
      </c>
      <c r="B15" s="139"/>
      <c r="C15" s="132">
        <f>tabela_informacyjna_dla_innych!$C$8</f>
        <v>0</v>
      </c>
      <c r="D15" s="59" t="str">
        <f t="shared" si="2"/>
        <v>brak nazwy gminy</v>
      </c>
      <c r="E15" s="25" t="str">
        <f>IFERROR(VLOOKUP($D15,kat_zadania[],katalogi!$N$1-katalogi!$L$1,FALSE),"brak nazwy gminy")</f>
        <v>brak nazwy gminy</v>
      </c>
      <c r="F15" s="34"/>
      <c r="G15" s="34"/>
      <c r="H15" s="34"/>
      <c r="I15" s="136"/>
      <c r="J15" s="136"/>
      <c r="K15" s="90" t="str">
        <f>IFERROR(VLOOKUP($S15,kat_wsk_efektu[],wskaźniki_efektu!C$1,FALSE)*$I15/1000,"")</f>
        <v/>
      </c>
      <c r="L15" s="90" t="str">
        <f>IFERROR(VLOOKUP($S15,kat_wsk_efektu[],wskaźniki_efektu!D$1,FALSE)*$I15/1000,"")</f>
        <v/>
      </c>
      <c r="M15" s="90" t="str">
        <f>IFERROR(VLOOKUP($S15,kat_wsk_efektu[],wskaźniki_efektu!E$1,FALSE)*$I15/1000,"")</f>
        <v/>
      </c>
      <c r="N15" s="137"/>
      <c r="O15" s="137"/>
      <c r="P15" s="138"/>
      <c r="Q15" s="121" t="str">
        <f>IFERROR(VLOOKUP($T15,gminy_26[],(katalog_gmin_PL26!$I$1+$F$2-2020),FALSE),"brak nazwy gminy w kolumnie 2")</f>
        <v>brak nazwy gminy w kolumnie 2</v>
      </c>
      <c r="S15" s="93" t="str">
        <f>IFERROR(VLOOKUP($H15,wskaźniki_efektu!$B$21:$C$34,wskaźniki_efektu!$C$1-wskaźniki_efektu!$A$1,FALSE),"")</f>
        <v/>
      </c>
      <c r="T15" s="109" t="e">
        <f>VLOOKUP($B15,gminy_26[[nazwa gminy]:[kod gminy2]],2,FALSE)</f>
        <v>#N/A</v>
      </c>
      <c r="U15" s="109" t="e">
        <f>VLOOKUP($T15,gminy_26[],katalog_gmin_PL26!$F$1,FALSE)</f>
        <v>#N/A</v>
      </c>
    </row>
    <row r="16" spans="1:21" ht="24" x14ac:dyDescent="0.2">
      <c r="A16" s="3">
        <v>6</v>
      </c>
      <c r="B16" s="139"/>
      <c r="C16" s="132">
        <f>tabela_informacyjna_dla_innych!$C$8</f>
        <v>0</v>
      </c>
      <c r="D16" s="59" t="str">
        <f t="shared" si="2"/>
        <v>brak nazwy gminy</v>
      </c>
      <c r="E16" s="25" t="str">
        <f>IFERROR(VLOOKUP($D16,kat_zadania[],katalogi!$N$1-katalogi!$L$1,FALSE),"brak nazwy gminy")</f>
        <v>brak nazwy gminy</v>
      </c>
      <c r="F16" s="34"/>
      <c r="G16" s="34"/>
      <c r="H16" s="34"/>
      <c r="I16" s="136"/>
      <c r="J16" s="136"/>
      <c r="K16" s="90" t="str">
        <f>IFERROR(VLOOKUP($S16,kat_wsk_efektu[],wskaźniki_efektu!C$1,FALSE)*$I16/1000,"")</f>
        <v/>
      </c>
      <c r="L16" s="90" t="str">
        <f>IFERROR(VLOOKUP($S16,kat_wsk_efektu[],wskaźniki_efektu!D$1,FALSE)*$I16/1000,"")</f>
        <v/>
      </c>
      <c r="M16" s="90" t="str">
        <f>IFERROR(VLOOKUP($S16,kat_wsk_efektu[],wskaźniki_efektu!E$1,FALSE)*$I16/1000,"")</f>
        <v/>
      </c>
      <c r="N16" s="137"/>
      <c r="O16" s="137"/>
      <c r="P16" s="138"/>
      <c r="Q16" s="121" t="str">
        <f>IFERROR(VLOOKUP($T16,gminy_26[],(katalog_gmin_PL26!$I$1+$F$2-2020),FALSE),"brak nazwy gminy w kolumnie 2")</f>
        <v>brak nazwy gminy w kolumnie 2</v>
      </c>
      <c r="S16" s="93" t="str">
        <f>IFERROR(VLOOKUP($H16,wskaźniki_efektu!$B$21:$C$34,wskaźniki_efektu!$C$1-wskaźniki_efektu!$A$1,FALSE),"")</f>
        <v/>
      </c>
      <c r="T16" s="109" t="e">
        <f>VLOOKUP($B16,gminy_26[[nazwa gminy]:[kod gminy2]],2,FALSE)</f>
        <v>#N/A</v>
      </c>
      <c r="U16" s="109" t="e">
        <f>VLOOKUP($T16,gminy_26[],katalog_gmin_PL26!$F$1,FALSE)</f>
        <v>#N/A</v>
      </c>
    </row>
    <row r="17" spans="1:21" ht="24" x14ac:dyDescent="0.2">
      <c r="A17" s="3">
        <v>7</v>
      </c>
      <c r="B17" s="139"/>
      <c r="C17" s="132">
        <f>tabela_informacyjna_dla_innych!$C$8</f>
        <v>0</v>
      </c>
      <c r="D17" s="59" t="str">
        <f t="shared" si="2"/>
        <v>brak nazwy gminy</v>
      </c>
      <c r="E17" s="25" t="str">
        <f>IFERROR(VLOOKUP($D17,kat_zadania[],katalogi!$N$1-katalogi!$L$1,FALSE),"brak nazwy gminy")</f>
        <v>brak nazwy gminy</v>
      </c>
      <c r="F17" s="34"/>
      <c r="G17" s="34"/>
      <c r="H17" s="34"/>
      <c r="I17" s="136"/>
      <c r="J17" s="136"/>
      <c r="K17" s="90" t="str">
        <f>IFERROR(VLOOKUP($S17,kat_wsk_efektu[],wskaźniki_efektu!C$1,FALSE)*$I17/1000,"")</f>
        <v/>
      </c>
      <c r="L17" s="90" t="str">
        <f>IFERROR(VLOOKUP($S17,kat_wsk_efektu[],wskaźniki_efektu!D$1,FALSE)*$I17/1000,"")</f>
        <v/>
      </c>
      <c r="M17" s="90" t="str">
        <f>IFERROR(VLOOKUP($S17,kat_wsk_efektu[],wskaźniki_efektu!E$1,FALSE)*$I17/1000,"")</f>
        <v/>
      </c>
      <c r="N17" s="137"/>
      <c r="O17" s="137"/>
      <c r="P17" s="138"/>
      <c r="Q17" s="121" t="str">
        <f>IFERROR(VLOOKUP($T17,gminy_26[],(katalog_gmin_PL26!$I$1+$F$2-2020),FALSE),"brak nazwy gminy w kolumnie 2")</f>
        <v>brak nazwy gminy w kolumnie 2</v>
      </c>
      <c r="S17" s="93" t="str">
        <f>IFERROR(VLOOKUP($H17,wskaźniki_efektu!$B$21:$C$34,wskaźniki_efektu!$C$1-wskaźniki_efektu!$A$1,FALSE),"")</f>
        <v/>
      </c>
      <c r="T17" s="109" t="e">
        <f>VLOOKUP($B17,gminy_26[[nazwa gminy]:[kod gminy2]],2,FALSE)</f>
        <v>#N/A</v>
      </c>
      <c r="U17" s="109" t="e">
        <f>VLOOKUP($T17,gminy_26[],katalog_gmin_PL26!$F$1,FALSE)</f>
        <v>#N/A</v>
      </c>
    </row>
    <row r="18" spans="1:21" ht="24" x14ac:dyDescent="0.2">
      <c r="A18" s="3">
        <v>8</v>
      </c>
      <c r="B18" s="139"/>
      <c r="C18" s="132">
        <f>tabela_informacyjna_dla_innych!$C$8</f>
        <v>0</v>
      </c>
      <c r="D18" s="59" t="str">
        <f t="shared" si="2"/>
        <v>brak nazwy gminy</v>
      </c>
      <c r="E18" s="25" t="str">
        <f>IFERROR(VLOOKUP($D18,kat_zadania[],katalogi!$N$1-katalogi!$L$1,FALSE),"brak nazwy gminy")</f>
        <v>brak nazwy gminy</v>
      </c>
      <c r="F18" s="34"/>
      <c r="G18" s="34"/>
      <c r="H18" s="34"/>
      <c r="I18" s="136"/>
      <c r="J18" s="136"/>
      <c r="K18" s="90" t="str">
        <f>IFERROR(VLOOKUP($S18,kat_wsk_efektu[],wskaźniki_efektu!C$1,FALSE)*$I18/1000,"")</f>
        <v/>
      </c>
      <c r="L18" s="90" t="str">
        <f>IFERROR(VLOOKUP($S18,kat_wsk_efektu[],wskaźniki_efektu!D$1,FALSE)*$I18/1000,"")</f>
        <v/>
      </c>
      <c r="M18" s="90" t="str">
        <f>IFERROR(VLOOKUP($S18,kat_wsk_efektu[],wskaźniki_efektu!E$1,FALSE)*$I18/1000,"")</f>
        <v/>
      </c>
      <c r="N18" s="137"/>
      <c r="O18" s="137"/>
      <c r="P18" s="138"/>
      <c r="Q18" s="121" t="str">
        <f>IFERROR(VLOOKUP($T18,gminy_26[],(katalog_gmin_PL26!$I$1+$F$2-2020),FALSE),"brak nazwy gminy w kolumnie 2")</f>
        <v>brak nazwy gminy w kolumnie 2</v>
      </c>
      <c r="S18" s="93" t="str">
        <f>IFERROR(VLOOKUP($H18,wskaźniki_efektu!$B$21:$C$34,wskaźniki_efektu!$C$1-wskaźniki_efektu!$A$1,FALSE),"")</f>
        <v/>
      </c>
      <c r="T18" s="109" t="e">
        <f>VLOOKUP($B18,gminy_26[[nazwa gminy]:[kod gminy2]],2,FALSE)</f>
        <v>#N/A</v>
      </c>
      <c r="U18" s="109" t="e">
        <f>VLOOKUP($T18,gminy_26[],katalog_gmin_PL26!$F$1,FALSE)</f>
        <v>#N/A</v>
      </c>
    </row>
    <row r="19" spans="1:21" ht="24" x14ac:dyDescent="0.2">
      <c r="A19" s="3">
        <v>9</v>
      </c>
      <c r="B19" s="139"/>
      <c r="C19" s="132">
        <f>tabela_informacyjna_dla_innych!$C$8</f>
        <v>0</v>
      </c>
      <c r="D19" s="59" t="str">
        <f t="shared" si="2"/>
        <v>brak nazwy gminy</v>
      </c>
      <c r="E19" s="25" t="str">
        <f>IFERROR(VLOOKUP($D19,kat_zadania[],katalogi!$N$1-katalogi!$L$1,FALSE),"brak nazwy gminy")</f>
        <v>brak nazwy gminy</v>
      </c>
      <c r="F19" s="34"/>
      <c r="G19" s="34"/>
      <c r="H19" s="34"/>
      <c r="I19" s="136"/>
      <c r="J19" s="136"/>
      <c r="K19" s="90" t="str">
        <f>IFERROR(VLOOKUP($S19,kat_wsk_efektu[],wskaźniki_efektu!C$1,FALSE)*$I19/1000,"")</f>
        <v/>
      </c>
      <c r="L19" s="90" t="str">
        <f>IFERROR(VLOOKUP($S19,kat_wsk_efektu[],wskaźniki_efektu!D$1,FALSE)*$I19/1000,"")</f>
        <v/>
      </c>
      <c r="M19" s="90" t="str">
        <f>IFERROR(VLOOKUP($S19,kat_wsk_efektu[],wskaźniki_efektu!E$1,FALSE)*$I19/1000,"")</f>
        <v/>
      </c>
      <c r="N19" s="137"/>
      <c r="O19" s="137"/>
      <c r="P19" s="138"/>
      <c r="Q19" s="121" t="str">
        <f>IFERROR(VLOOKUP($T19,gminy_26[],(katalog_gmin_PL26!$I$1+$F$2-2020),FALSE),"brak nazwy gminy w kolumnie 2")</f>
        <v>brak nazwy gminy w kolumnie 2</v>
      </c>
      <c r="S19" s="93" t="str">
        <f>IFERROR(VLOOKUP($H19,wskaźniki_efektu!$B$21:$C$34,wskaźniki_efektu!$C$1-wskaźniki_efektu!$A$1,FALSE),"")</f>
        <v/>
      </c>
      <c r="T19" s="109" t="e">
        <f>VLOOKUP($B19,gminy_26[[nazwa gminy]:[kod gminy2]],2,FALSE)</f>
        <v>#N/A</v>
      </c>
      <c r="U19" s="109" t="e">
        <f>VLOOKUP($T19,gminy_26[],katalog_gmin_PL26!$F$1,FALSE)</f>
        <v>#N/A</v>
      </c>
    </row>
    <row r="20" spans="1:21" ht="24" x14ac:dyDescent="0.2">
      <c r="A20" s="3">
        <v>10</v>
      </c>
      <c r="B20" s="139"/>
      <c r="C20" s="132">
        <f>tabela_informacyjna_dla_innych!$C$8</f>
        <v>0</v>
      </c>
      <c r="D20" s="59" t="str">
        <f t="shared" si="2"/>
        <v>brak nazwy gminy</v>
      </c>
      <c r="E20" s="25" t="str">
        <f>IFERROR(VLOOKUP($D20,kat_zadania[],katalogi!$N$1-katalogi!$L$1,FALSE),"brak nazwy gminy")</f>
        <v>brak nazwy gminy</v>
      </c>
      <c r="F20" s="34"/>
      <c r="G20" s="34"/>
      <c r="H20" s="34"/>
      <c r="I20" s="136"/>
      <c r="J20" s="136"/>
      <c r="K20" s="90" t="str">
        <f>IFERROR(VLOOKUP($S20,kat_wsk_efektu[],wskaźniki_efektu!C$1,FALSE)*$I20/1000,"")</f>
        <v/>
      </c>
      <c r="L20" s="90" t="str">
        <f>IFERROR(VLOOKUP($S20,kat_wsk_efektu[],wskaźniki_efektu!D$1,FALSE)*$I20/1000,"")</f>
        <v/>
      </c>
      <c r="M20" s="90" t="str">
        <f>IFERROR(VLOOKUP($S20,kat_wsk_efektu[],wskaźniki_efektu!E$1,FALSE)*$I20/1000,"")</f>
        <v/>
      </c>
      <c r="N20" s="137"/>
      <c r="O20" s="137"/>
      <c r="P20" s="138"/>
      <c r="Q20" s="121" t="str">
        <f>IFERROR(VLOOKUP($T20,gminy_26[],(katalog_gmin_PL26!$I$1+$F$2-2020),FALSE),"brak nazwy gminy w kolumnie 2")</f>
        <v>brak nazwy gminy w kolumnie 2</v>
      </c>
      <c r="S20" s="93" t="str">
        <f>IFERROR(VLOOKUP($H20,wskaźniki_efektu!$B$21:$C$34,wskaźniki_efektu!$C$1-wskaźniki_efektu!$A$1,FALSE),"")</f>
        <v/>
      </c>
      <c r="T20" s="109" t="e">
        <f>VLOOKUP($B20,gminy_26[[nazwa gminy]:[kod gminy2]],2,FALSE)</f>
        <v>#N/A</v>
      </c>
      <c r="U20" s="109" t="e">
        <f>VLOOKUP($T20,gminy_26[],katalog_gmin_PL26!$F$1,FALSE)</f>
        <v>#N/A</v>
      </c>
    </row>
  </sheetData>
  <sheetProtection formatCells="0" formatRows="0" sort="0" autoFilter="0" pivotTables="0"/>
  <mergeCells count="14">
    <mergeCell ref="F7:F8"/>
    <mergeCell ref="G7:G8"/>
    <mergeCell ref="H7:J7"/>
    <mergeCell ref="K7:M7"/>
    <mergeCell ref="A7:A8"/>
    <mergeCell ref="B7:B8"/>
    <mergeCell ref="C7:C8"/>
    <mergeCell ref="D7:D8"/>
    <mergeCell ref="E7:E8"/>
    <mergeCell ref="N7:N8"/>
    <mergeCell ref="O7:O8"/>
    <mergeCell ref="P7:P8"/>
    <mergeCell ref="S7:U7"/>
    <mergeCell ref="I4:O4"/>
  </mergeCells>
  <conditionalFormatting sqref="K11:M20">
    <cfRule type="expression" dxfId="3" priority="2">
      <formula>$I11=0</formula>
    </cfRule>
  </conditionalFormatting>
  <conditionalFormatting sqref="C11:C20">
    <cfRule type="cellIs" dxfId="2" priority="1" operator="equal">
      <formula>0</formula>
    </cfRule>
  </conditionalFormatting>
  <dataValidations count="5">
    <dataValidation type="whole" operator="greaterThanOrEqual" allowBlank="1" showInputMessage="1" showErrorMessage="1" error="Proszę podać wartość liczbową!" sqref="I11:J20">
      <formula1>0</formula1>
    </dataValidation>
    <dataValidation type="decimal" operator="greaterThanOrEqual" allowBlank="1" showInputMessage="1" showErrorMessage="1" error="Proszę podać wartość liczbową!" sqref="N11:O20">
      <formula1>0</formula1>
    </dataValidation>
    <dataValidation type="list" operator="greaterThanOrEqual" allowBlank="1" showInputMessage="1" showErrorMessage="1" error="Proszę podać wartość liczbową!" sqref="H11:H20">
      <formula1>monit_ZSO</formula1>
    </dataValidation>
    <dataValidation operator="greaterThanOrEqual" allowBlank="1" showDropDown="1" showInputMessage="1" showErrorMessage="1" error="Proszę podać wartość liczbową!" sqref="S11:S20"/>
    <dataValidation operator="greaterThanOrEqual" allowBlank="1" showInputMessage="1" showErrorMessage="1" error="Proszę podać wartość liczbową!" sqref="K11:M20 G11:G20"/>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INDIRECT(tabela_informacyjna_dla_innych!$C$8)</xm:f>
          </x14:formula1>
          <xm:sqref>B11:B20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G18"/>
  <sheetViews>
    <sheetView zoomScale="90" zoomScaleNormal="90" workbookViewId="0">
      <pane xSplit="4" ySplit="8" topLeftCell="E9" activePane="bottomRight" state="frozen"/>
      <selection pane="topRight" activeCell="D1" sqref="D1"/>
      <selection pane="bottomLeft" activeCell="A8" sqref="A8"/>
      <selection pane="bottomRight" activeCell="G12" sqref="G12"/>
    </sheetView>
  </sheetViews>
  <sheetFormatPr defaultColWidth="9.140625" defaultRowHeight="12" x14ac:dyDescent="0.2"/>
  <cols>
    <col min="1" max="1" width="4.42578125" style="1" customWidth="1"/>
    <col min="2" max="2" width="13.28515625" style="1" customWidth="1"/>
    <col min="3" max="3" width="16.42578125" style="1" customWidth="1"/>
    <col min="4" max="4" width="13.140625" style="1" customWidth="1"/>
    <col min="5" max="5" width="37.7109375" style="1" customWidth="1"/>
    <col min="6" max="6" width="29.85546875" style="1" customWidth="1"/>
    <col min="7" max="11" width="15.140625" style="1" customWidth="1"/>
    <col min="12" max="12" width="12.85546875" style="1" customWidth="1"/>
    <col min="13" max="13" width="23" style="1" customWidth="1"/>
    <col min="14" max="14" width="41.28515625" style="1" customWidth="1"/>
    <col min="15" max="15" width="9.140625" style="1"/>
    <col min="16" max="18" width="0" style="1" hidden="1" customWidth="1"/>
    <col min="19" max="32" width="9.140625" style="1"/>
    <col min="33" max="33" width="7" style="1" hidden="1" customWidth="1"/>
    <col min="34" max="16384" width="9.140625" style="1"/>
  </cols>
  <sheetData>
    <row r="1" spans="1:33" ht="15" x14ac:dyDescent="0.2">
      <c r="A1" s="131" t="s">
        <v>486</v>
      </c>
    </row>
    <row r="2" spans="1:33" ht="15.75" x14ac:dyDescent="0.2">
      <c r="G2" s="62"/>
      <c r="H2" s="62"/>
      <c r="I2" s="62"/>
      <c r="J2" s="62"/>
      <c r="K2" s="62"/>
      <c r="L2" s="62"/>
    </row>
    <row r="3" spans="1:33" ht="15" x14ac:dyDescent="0.2">
      <c r="G3" s="178" t="s">
        <v>345</v>
      </c>
      <c r="H3" s="178"/>
      <c r="I3" s="178"/>
      <c r="J3" s="178"/>
      <c r="K3" s="178"/>
      <c r="L3" s="178"/>
      <c r="M3" s="178"/>
    </row>
    <row r="4" spans="1:33" ht="15" x14ac:dyDescent="0.2">
      <c r="A4" s="12" t="s">
        <v>334</v>
      </c>
      <c r="E4" s="13"/>
      <c r="F4" s="13"/>
      <c r="G4" s="63">
        <f t="shared" ref="G4:K4" si="0">SUM(G9:G18)</f>
        <v>0</v>
      </c>
      <c r="H4" s="63">
        <f t="shared" si="0"/>
        <v>2</v>
      </c>
      <c r="I4" s="63">
        <f t="shared" si="0"/>
        <v>0</v>
      </c>
      <c r="J4" s="63">
        <f t="shared" si="0"/>
        <v>0</v>
      </c>
      <c r="K4" s="63">
        <f t="shared" si="0"/>
        <v>1000</v>
      </c>
      <c r="L4" s="64">
        <f>SUM(L9:L18)</f>
        <v>0</v>
      </c>
      <c r="M4" s="64">
        <f>SUM(M9:M18)</f>
        <v>0</v>
      </c>
      <c r="N4" s="13"/>
    </row>
    <row r="5" spans="1:33" ht="36" x14ac:dyDescent="0.2">
      <c r="A5" s="166" t="s">
        <v>7</v>
      </c>
      <c r="B5" s="166" t="s">
        <v>31</v>
      </c>
      <c r="C5" s="166" t="s">
        <v>0</v>
      </c>
      <c r="D5" s="166" t="s">
        <v>25</v>
      </c>
      <c r="E5" s="166" t="s">
        <v>26</v>
      </c>
      <c r="F5" s="166" t="s">
        <v>27</v>
      </c>
      <c r="G5" s="174" t="s">
        <v>346</v>
      </c>
      <c r="H5" s="174"/>
      <c r="I5" s="174"/>
      <c r="J5" s="174"/>
      <c r="K5" s="174"/>
      <c r="L5" s="99" t="s">
        <v>54</v>
      </c>
      <c r="M5" s="66" t="s">
        <v>60</v>
      </c>
      <c r="N5" s="99" t="s">
        <v>22</v>
      </c>
    </row>
    <row r="6" spans="1:33" ht="51" customHeight="1" x14ac:dyDescent="0.2">
      <c r="A6" s="167"/>
      <c r="B6" s="167"/>
      <c r="C6" s="167"/>
      <c r="D6" s="167"/>
      <c r="E6" s="167"/>
      <c r="F6" s="167"/>
      <c r="G6" s="99" t="s">
        <v>337</v>
      </c>
      <c r="H6" s="99" t="s">
        <v>336</v>
      </c>
      <c r="I6" s="99" t="s">
        <v>338</v>
      </c>
      <c r="J6" s="99" t="s">
        <v>339</v>
      </c>
      <c r="K6" s="99" t="s">
        <v>340</v>
      </c>
      <c r="L6" s="99"/>
      <c r="M6" s="66"/>
      <c r="N6" s="99"/>
      <c r="P6" s="110" t="s">
        <v>6</v>
      </c>
      <c r="Q6" s="110" t="s">
        <v>310</v>
      </c>
      <c r="R6" s="110" t="s">
        <v>2</v>
      </c>
    </row>
    <row r="7" spans="1:33" x14ac:dyDescent="0.2">
      <c r="A7" s="19">
        <v>1</v>
      </c>
      <c r="B7" s="19">
        <f>A7+1</f>
        <v>2</v>
      </c>
      <c r="C7" s="19">
        <f t="shared" ref="C7:D7" si="1">B7+1</f>
        <v>3</v>
      </c>
      <c r="D7" s="19">
        <f t="shared" si="1"/>
        <v>4</v>
      </c>
      <c r="E7" s="19">
        <f t="shared" ref="E7:N7" si="2">D7+1</f>
        <v>5</v>
      </c>
      <c r="F7" s="19">
        <f t="shared" si="2"/>
        <v>6</v>
      </c>
      <c r="G7" s="19">
        <f t="shared" si="2"/>
        <v>7</v>
      </c>
      <c r="H7" s="19">
        <f t="shared" si="2"/>
        <v>8</v>
      </c>
      <c r="I7" s="19">
        <f t="shared" si="2"/>
        <v>9</v>
      </c>
      <c r="J7" s="19">
        <f t="shared" si="2"/>
        <v>10</v>
      </c>
      <c r="K7" s="19">
        <f t="shared" si="2"/>
        <v>11</v>
      </c>
      <c r="L7" s="19">
        <f t="shared" si="2"/>
        <v>12</v>
      </c>
      <c r="M7" s="19">
        <f t="shared" si="2"/>
        <v>13</v>
      </c>
      <c r="N7" s="19">
        <f t="shared" si="2"/>
        <v>14</v>
      </c>
      <c r="P7" s="91" t="s">
        <v>453</v>
      </c>
      <c r="Q7" s="91" t="s">
        <v>454</v>
      </c>
      <c r="R7" s="91" t="s">
        <v>455</v>
      </c>
    </row>
    <row r="8" spans="1:33" ht="67.5" x14ac:dyDescent="0.2">
      <c r="A8" s="15"/>
      <c r="B8" s="15" t="s">
        <v>489</v>
      </c>
      <c r="C8" s="18" t="s">
        <v>487</v>
      </c>
      <c r="D8" s="18" t="s">
        <v>39</v>
      </c>
      <c r="E8" s="18" t="s">
        <v>39</v>
      </c>
      <c r="F8" s="14" t="s">
        <v>32</v>
      </c>
      <c r="G8" s="14" t="s">
        <v>341</v>
      </c>
      <c r="H8" s="14" t="s">
        <v>35</v>
      </c>
      <c r="I8" s="14" t="s">
        <v>342</v>
      </c>
      <c r="J8" s="14" t="s">
        <v>343</v>
      </c>
      <c r="K8" s="14" t="s">
        <v>344</v>
      </c>
      <c r="L8" s="16" t="s">
        <v>24</v>
      </c>
      <c r="M8" s="16" t="s">
        <v>34</v>
      </c>
      <c r="N8" s="16" t="s">
        <v>510</v>
      </c>
      <c r="P8" s="92" t="s">
        <v>326</v>
      </c>
      <c r="Q8" s="92" t="s">
        <v>326</v>
      </c>
      <c r="R8" s="92" t="s">
        <v>326</v>
      </c>
      <c r="AG8" s="66" t="s">
        <v>53</v>
      </c>
    </row>
    <row r="9" spans="1:33" ht="23.1" customHeight="1" x14ac:dyDescent="0.2">
      <c r="A9" s="3">
        <v>1</v>
      </c>
      <c r="B9" s="139" t="s">
        <v>239</v>
      </c>
      <c r="C9" s="132" t="str">
        <f>IFERROR(VLOOKUP($Q9,powiaty_26[],katalogi!$B$1,FALSE),"brak gminy w kolumnie 2")</f>
        <v>konecki</v>
      </c>
      <c r="D9" s="59" t="str">
        <f>IFERROR(CONCATENATE($R9,"_EE"),"brak nazwy gminy")</f>
        <v>PL2602_EE</v>
      </c>
      <c r="E9" s="25" t="str">
        <f>IFERROR(VLOOKUP($D9,kat_zadania[],katalogi!$N$1-katalogi!$L$1,FALSE),"brak nazwy gminy")</f>
        <v>Prowadzenie działań promocyjnych i edukacyjnych (ulotki, imprezy, akcje szkolne, audycje, konferencje) oraz informacyjnych i szkoleniowych</v>
      </c>
      <c r="F9" s="140" t="s">
        <v>560</v>
      </c>
      <c r="G9" s="140"/>
      <c r="H9" s="140">
        <v>2</v>
      </c>
      <c r="I9" s="140"/>
      <c r="J9" s="140"/>
      <c r="K9" s="140">
        <v>1000</v>
      </c>
      <c r="L9" s="137">
        <v>0</v>
      </c>
      <c r="M9" s="137">
        <v>0</v>
      </c>
      <c r="N9" s="138"/>
      <c r="P9" s="109" t="str">
        <f>VLOOKUP($B9,gminy_26[[nazwa gminy]:[kod gminy2]],2,FALSE)</f>
        <v>2605052</v>
      </c>
      <c r="Q9" s="109" t="str">
        <f>LEFT(P9,4)</f>
        <v>2605</v>
      </c>
      <c r="R9" s="109" t="str">
        <f>VLOOKUP($P9,gminy_26[],katalog_gmin_PL26!$F$1,FALSE)</f>
        <v>PL2602</v>
      </c>
      <c r="AG9" s="1" t="b">
        <f>OR(NOT(ISBLANK(#REF!)),NOT(ISBLANK(K9)))</f>
        <v>1</v>
      </c>
    </row>
    <row r="10" spans="1:33" ht="23.1" customHeight="1" x14ac:dyDescent="0.2">
      <c r="A10" s="3">
        <v>2</v>
      </c>
      <c r="B10" s="139"/>
      <c r="C10" s="132" t="str">
        <f>IFERROR(VLOOKUP($Q10,powiaty_26[],katalogi!$B$1,FALSE),"brak gminy w kolumnie 2")</f>
        <v>brak gminy w kolumnie 2</v>
      </c>
      <c r="D10" s="59" t="str">
        <f t="shared" ref="D10:D18" si="3">IFERROR(CONCATENATE($R10,"_EE"),"brak nazwy gminy")</f>
        <v>brak nazwy gminy</v>
      </c>
      <c r="E10" s="25" t="str">
        <f>IFERROR(VLOOKUP($D10,kat_zadania[],katalogi!$N$1-katalogi!$L$1,FALSE),"brak nazwy gminy")</f>
        <v>brak nazwy gminy</v>
      </c>
      <c r="F10" s="140"/>
      <c r="G10" s="140"/>
      <c r="H10" s="140"/>
      <c r="I10" s="140"/>
      <c r="J10" s="140"/>
      <c r="K10" s="140"/>
      <c r="L10" s="137"/>
      <c r="M10" s="137"/>
      <c r="N10" s="138"/>
      <c r="P10" s="109" t="e">
        <f>VLOOKUP($B10,gminy_26[[nazwa gminy]:[kod gminy2]],2,FALSE)</f>
        <v>#N/A</v>
      </c>
      <c r="Q10" s="109" t="e">
        <f t="shared" ref="Q10:Q18" si="4">LEFT(P10,4)</f>
        <v>#N/A</v>
      </c>
      <c r="R10" s="109" t="e">
        <f>VLOOKUP($P10,gminy_26[],katalog_gmin_PL26!$F$1,FALSE)</f>
        <v>#N/A</v>
      </c>
      <c r="AG10" s="1" t="b">
        <f t="shared" ref="AG10:AG18" si="5">OR(NOT(ISBLANK(F10)),NOT(ISBLANK(K10)))</f>
        <v>0</v>
      </c>
    </row>
    <row r="11" spans="1:33" ht="23.1" customHeight="1" x14ac:dyDescent="0.2">
      <c r="A11" s="3">
        <v>3</v>
      </c>
      <c r="B11" s="139"/>
      <c r="C11" s="132" t="str">
        <f>IFERROR(VLOOKUP($Q11,powiaty_26[],katalogi!$B$1,FALSE),"brak gminy w kolumnie 2")</f>
        <v>brak gminy w kolumnie 2</v>
      </c>
      <c r="D11" s="59" t="str">
        <f t="shared" si="3"/>
        <v>brak nazwy gminy</v>
      </c>
      <c r="E11" s="25" t="str">
        <f>IFERROR(VLOOKUP($D11,kat_zadania[],katalogi!$N$1-katalogi!$L$1,FALSE),"brak nazwy gminy")</f>
        <v>brak nazwy gminy</v>
      </c>
      <c r="F11" s="140"/>
      <c r="G11" s="140"/>
      <c r="H11" s="140"/>
      <c r="I11" s="140"/>
      <c r="J11" s="140"/>
      <c r="K11" s="140"/>
      <c r="L11" s="137"/>
      <c r="M11" s="137"/>
      <c r="N11" s="138"/>
      <c r="P11" s="109" t="e">
        <f>VLOOKUP($B11,gminy_26[[nazwa gminy]:[kod gminy2]],2,FALSE)</f>
        <v>#N/A</v>
      </c>
      <c r="Q11" s="109" t="e">
        <f t="shared" si="4"/>
        <v>#N/A</v>
      </c>
      <c r="R11" s="109" t="e">
        <f>VLOOKUP($P11,gminy_26[],katalog_gmin_PL26!$F$1,FALSE)</f>
        <v>#N/A</v>
      </c>
      <c r="AG11" s="1" t="b">
        <f t="shared" si="5"/>
        <v>0</v>
      </c>
    </row>
    <row r="12" spans="1:33" ht="23.1" customHeight="1" x14ac:dyDescent="0.2">
      <c r="A12" s="3">
        <v>4</v>
      </c>
      <c r="B12" s="139"/>
      <c r="C12" s="132" t="str">
        <f>IFERROR(VLOOKUP($Q12,powiaty_26[],katalogi!$B$1,FALSE),"brak gminy w kolumnie 2")</f>
        <v>brak gminy w kolumnie 2</v>
      </c>
      <c r="D12" s="59" t="str">
        <f t="shared" si="3"/>
        <v>brak nazwy gminy</v>
      </c>
      <c r="E12" s="25" t="str">
        <f>IFERROR(VLOOKUP($D12,kat_zadania[],katalogi!$N$1-katalogi!$L$1,FALSE),"brak nazwy gminy")</f>
        <v>brak nazwy gminy</v>
      </c>
      <c r="F12" s="140"/>
      <c r="G12" s="140"/>
      <c r="H12" s="140"/>
      <c r="I12" s="140"/>
      <c r="J12" s="140"/>
      <c r="K12" s="140"/>
      <c r="L12" s="137"/>
      <c r="M12" s="137"/>
      <c r="N12" s="138"/>
      <c r="P12" s="109" t="e">
        <f>VLOOKUP($B12,gminy_26[[nazwa gminy]:[kod gminy2]],2,FALSE)</f>
        <v>#N/A</v>
      </c>
      <c r="Q12" s="109" t="e">
        <f t="shared" si="4"/>
        <v>#N/A</v>
      </c>
      <c r="R12" s="109" t="e">
        <f>VLOOKUP($P12,gminy_26[],katalog_gmin_PL26!$F$1,FALSE)</f>
        <v>#N/A</v>
      </c>
      <c r="AG12" s="1" t="b">
        <f t="shared" si="5"/>
        <v>0</v>
      </c>
    </row>
    <row r="13" spans="1:33" ht="23.1" customHeight="1" x14ac:dyDescent="0.2">
      <c r="A13" s="3">
        <v>5</v>
      </c>
      <c r="B13" s="139"/>
      <c r="C13" s="132" t="str">
        <f>IFERROR(VLOOKUP($Q13,powiaty_26[],katalogi!$B$1,FALSE),"brak gminy w kolumnie 2")</f>
        <v>brak gminy w kolumnie 2</v>
      </c>
      <c r="D13" s="59" t="str">
        <f t="shared" si="3"/>
        <v>brak nazwy gminy</v>
      </c>
      <c r="E13" s="25" t="str">
        <f>IFERROR(VLOOKUP($D13,kat_zadania[],katalogi!$N$1-katalogi!$L$1,FALSE),"brak nazwy gminy")</f>
        <v>brak nazwy gminy</v>
      </c>
      <c r="F13" s="140"/>
      <c r="G13" s="140"/>
      <c r="H13" s="140"/>
      <c r="I13" s="140"/>
      <c r="J13" s="140"/>
      <c r="K13" s="140"/>
      <c r="L13" s="137"/>
      <c r="M13" s="137"/>
      <c r="N13" s="138"/>
      <c r="P13" s="109" t="e">
        <f>VLOOKUP($B13,gminy_26[[nazwa gminy]:[kod gminy2]],2,FALSE)</f>
        <v>#N/A</v>
      </c>
      <c r="Q13" s="109" t="e">
        <f t="shared" si="4"/>
        <v>#N/A</v>
      </c>
      <c r="R13" s="109" t="e">
        <f>VLOOKUP($P13,gminy_26[],katalog_gmin_PL26!$F$1,FALSE)</f>
        <v>#N/A</v>
      </c>
      <c r="AG13" s="1" t="b">
        <f t="shared" si="5"/>
        <v>0</v>
      </c>
    </row>
    <row r="14" spans="1:33" ht="23.1" customHeight="1" x14ac:dyDescent="0.2">
      <c r="A14" s="3">
        <v>6</v>
      </c>
      <c r="B14" s="139"/>
      <c r="C14" s="132" t="str">
        <f>IFERROR(VLOOKUP($Q14,powiaty_26[],katalogi!$B$1,FALSE),"brak gminy w kolumnie 2")</f>
        <v>brak gminy w kolumnie 2</v>
      </c>
      <c r="D14" s="59" t="str">
        <f t="shared" si="3"/>
        <v>brak nazwy gminy</v>
      </c>
      <c r="E14" s="25" t="str">
        <f>IFERROR(VLOOKUP($D14,kat_zadania[],katalogi!$N$1-katalogi!$L$1,FALSE),"brak nazwy gminy")</f>
        <v>brak nazwy gminy</v>
      </c>
      <c r="F14" s="140"/>
      <c r="G14" s="140"/>
      <c r="H14" s="140"/>
      <c r="I14" s="140"/>
      <c r="J14" s="140"/>
      <c r="K14" s="140"/>
      <c r="L14" s="137"/>
      <c r="M14" s="137"/>
      <c r="N14" s="138"/>
      <c r="P14" s="109" t="e">
        <f>VLOOKUP($B14,gminy_26[[nazwa gminy]:[kod gminy2]],2,FALSE)</f>
        <v>#N/A</v>
      </c>
      <c r="Q14" s="109" t="e">
        <f t="shared" si="4"/>
        <v>#N/A</v>
      </c>
      <c r="R14" s="109" t="e">
        <f>VLOOKUP($P14,gminy_26[],katalog_gmin_PL26!$F$1,FALSE)</f>
        <v>#N/A</v>
      </c>
      <c r="AG14" s="1" t="b">
        <f t="shared" si="5"/>
        <v>0</v>
      </c>
    </row>
    <row r="15" spans="1:33" ht="23.1" customHeight="1" x14ac:dyDescent="0.2">
      <c r="A15" s="3">
        <v>7</v>
      </c>
      <c r="B15" s="139"/>
      <c r="C15" s="132" t="str">
        <f>IFERROR(VLOOKUP($Q15,powiaty_26[],katalogi!$B$1,FALSE),"brak gminy w kolumnie 2")</f>
        <v>brak gminy w kolumnie 2</v>
      </c>
      <c r="D15" s="59" t="str">
        <f t="shared" si="3"/>
        <v>brak nazwy gminy</v>
      </c>
      <c r="E15" s="25" t="str">
        <f>IFERROR(VLOOKUP($D15,kat_zadania[],katalogi!$N$1-katalogi!$L$1,FALSE),"brak nazwy gminy")</f>
        <v>brak nazwy gminy</v>
      </c>
      <c r="F15" s="140"/>
      <c r="G15" s="140"/>
      <c r="H15" s="140"/>
      <c r="I15" s="140"/>
      <c r="J15" s="140"/>
      <c r="K15" s="140"/>
      <c r="L15" s="137"/>
      <c r="M15" s="137"/>
      <c r="N15" s="138"/>
      <c r="P15" s="109" t="e">
        <f>VLOOKUP($B15,gminy_26[[nazwa gminy]:[kod gminy2]],2,FALSE)</f>
        <v>#N/A</v>
      </c>
      <c r="Q15" s="109" t="e">
        <f t="shared" si="4"/>
        <v>#N/A</v>
      </c>
      <c r="R15" s="109" t="e">
        <f>VLOOKUP($P15,gminy_26[],katalog_gmin_PL26!$F$1,FALSE)</f>
        <v>#N/A</v>
      </c>
      <c r="AG15" s="1" t="b">
        <f t="shared" si="5"/>
        <v>0</v>
      </c>
    </row>
    <row r="16" spans="1:33" ht="23.1" customHeight="1" x14ac:dyDescent="0.2">
      <c r="A16" s="3">
        <v>8</v>
      </c>
      <c r="B16" s="139"/>
      <c r="C16" s="132" t="str">
        <f>IFERROR(VLOOKUP($Q16,powiaty_26[],katalogi!$B$1,FALSE),"brak gminy w kolumnie 2")</f>
        <v>brak gminy w kolumnie 2</v>
      </c>
      <c r="D16" s="59" t="str">
        <f t="shared" si="3"/>
        <v>brak nazwy gminy</v>
      </c>
      <c r="E16" s="25" t="str">
        <f>IFERROR(VLOOKUP($D16,kat_zadania[],katalogi!$N$1-katalogi!$L$1,FALSE),"brak nazwy gminy")</f>
        <v>brak nazwy gminy</v>
      </c>
      <c r="F16" s="140"/>
      <c r="G16" s="140"/>
      <c r="H16" s="140"/>
      <c r="I16" s="140"/>
      <c r="J16" s="140"/>
      <c r="K16" s="140"/>
      <c r="L16" s="137"/>
      <c r="M16" s="137"/>
      <c r="N16" s="138"/>
      <c r="P16" s="109" t="e">
        <f>VLOOKUP($B16,gminy_26[[nazwa gminy]:[kod gminy2]],2,FALSE)</f>
        <v>#N/A</v>
      </c>
      <c r="Q16" s="109" t="e">
        <f t="shared" si="4"/>
        <v>#N/A</v>
      </c>
      <c r="R16" s="109" t="e">
        <f>VLOOKUP($P16,gminy_26[],katalog_gmin_PL26!$F$1,FALSE)</f>
        <v>#N/A</v>
      </c>
      <c r="AG16" s="1" t="b">
        <f t="shared" si="5"/>
        <v>0</v>
      </c>
    </row>
    <row r="17" spans="1:33" ht="23.1" customHeight="1" x14ac:dyDescent="0.2">
      <c r="A17" s="3">
        <v>9</v>
      </c>
      <c r="B17" s="139"/>
      <c r="C17" s="132" t="str">
        <f>IFERROR(VLOOKUP($Q17,powiaty_26[],katalogi!$B$1,FALSE),"brak gminy w kolumnie 2")</f>
        <v>brak gminy w kolumnie 2</v>
      </c>
      <c r="D17" s="59" t="str">
        <f t="shared" si="3"/>
        <v>brak nazwy gminy</v>
      </c>
      <c r="E17" s="25" t="str">
        <f>IFERROR(VLOOKUP($D17,kat_zadania[],katalogi!$N$1-katalogi!$L$1,FALSE),"brak nazwy gminy")</f>
        <v>brak nazwy gminy</v>
      </c>
      <c r="F17" s="140"/>
      <c r="G17" s="140"/>
      <c r="H17" s="140"/>
      <c r="I17" s="140"/>
      <c r="J17" s="140"/>
      <c r="K17" s="140"/>
      <c r="L17" s="137"/>
      <c r="M17" s="137"/>
      <c r="N17" s="138"/>
      <c r="P17" s="109" t="e">
        <f>VLOOKUP($B17,gminy_26[[nazwa gminy]:[kod gminy2]],2,FALSE)</f>
        <v>#N/A</v>
      </c>
      <c r="Q17" s="109" t="e">
        <f t="shared" si="4"/>
        <v>#N/A</v>
      </c>
      <c r="R17" s="109" t="e">
        <f>VLOOKUP($P17,gminy_26[],katalog_gmin_PL26!$F$1,FALSE)</f>
        <v>#N/A</v>
      </c>
      <c r="AG17" s="1" t="b">
        <f t="shared" si="5"/>
        <v>0</v>
      </c>
    </row>
    <row r="18" spans="1:33" ht="23.1" customHeight="1" x14ac:dyDescent="0.2">
      <c r="A18" s="3">
        <v>10</v>
      </c>
      <c r="B18" s="139"/>
      <c r="C18" s="132" t="str">
        <f>IFERROR(VLOOKUP($Q18,powiaty_26[],katalogi!$B$1,FALSE),"brak gminy w kolumnie 2")</f>
        <v>brak gminy w kolumnie 2</v>
      </c>
      <c r="D18" s="59" t="str">
        <f t="shared" si="3"/>
        <v>brak nazwy gminy</v>
      </c>
      <c r="E18" s="25" t="str">
        <f>IFERROR(VLOOKUP($D18,kat_zadania[],katalogi!$N$1-katalogi!$L$1,FALSE),"brak nazwy gminy")</f>
        <v>brak nazwy gminy</v>
      </c>
      <c r="F18" s="140"/>
      <c r="G18" s="140"/>
      <c r="H18" s="140"/>
      <c r="I18" s="140"/>
      <c r="J18" s="140"/>
      <c r="K18" s="140"/>
      <c r="L18" s="137"/>
      <c r="M18" s="137"/>
      <c r="N18" s="138"/>
      <c r="P18" s="109" t="e">
        <f>VLOOKUP($B18,gminy_26[[nazwa gminy]:[kod gminy2]],2,FALSE)</f>
        <v>#N/A</v>
      </c>
      <c r="Q18" s="109" t="e">
        <f t="shared" si="4"/>
        <v>#N/A</v>
      </c>
      <c r="R18" s="109" t="e">
        <f>VLOOKUP($P18,gminy_26[],katalog_gmin_PL26!$F$1,FALSE)</f>
        <v>#N/A</v>
      </c>
      <c r="AG18" s="1" t="b">
        <f t="shared" si="5"/>
        <v>0</v>
      </c>
    </row>
  </sheetData>
  <sheetProtection formatCells="0" formatRows="0" sort="0" autoFilter="0" pivotTables="0"/>
  <mergeCells count="8">
    <mergeCell ref="G3:M3"/>
    <mergeCell ref="A5:A6"/>
    <mergeCell ref="B5:B6"/>
    <mergeCell ref="D5:D6"/>
    <mergeCell ref="E5:E6"/>
    <mergeCell ref="F5:F6"/>
    <mergeCell ref="G5:K5"/>
    <mergeCell ref="C5:C6"/>
  </mergeCells>
  <phoneticPr fontId="25" type="noConversion"/>
  <conditionalFormatting sqref="C9:C18">
    <cfRule type="cellIs" dxfId="1" priority="1" operator="equal">
      <formula>0</formula>
    </cfRule>
  </conditionalFormatting>
  <dataValidations count="3">
    <dataValidation type="whole" operator="greaterThanOrEqual" allowBlank="1" showInputMessage="1" showErrorMessage="1" error="Proszę podać wartość liczbową!" sqref="G9:K18">
      <formula1>0</formula1>
    </dataValidation>
    <dataValidation type="decimal" operator="greaterThanOrEqual" allowBlank="1" showInputMessage="1" showErrorMessage="1" error="Proszę podać wartość liczbową!" sqref="L9:M18">
      <formula1>0</formula1>
    </dataValidation>
    <dataValidation type="list" allowBlank="1" showInputMessage="1" showErrorMessage="1" sqref="B9:B18">
      <formula1>nazwy_gmin</formula1>
    </dataValidation>
  </dataValidation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C18"/>
  <sheetViews>
    <sheetView zoomScale="90" zoomScaleNormal="90" workbookViewId="0">
      <pane xSplit="4" ySplit="8" topLeftCell="E9" activePane="bottomRight" state="frozen"/>
      <selection pane="topRight" activeCell="D1" sqref="D1"/>
      <selection pane="bottomLeft" activeCell="A8" sqref="A8"/>
      <selection pane="bottomRight" activeCell="I9" sqref="I9"/>
    </sheetView>
  </sheetViews>
  <sheetFormatPr defaultColWidth="9.140625" defaultRowHeight="12" x14ac:dyDescent="0.2"/>
  <cols>
    <col min="1" max="1" width="4.42578125" style="1" customWidth="1"/>
    <col min="2" max="2" width="25.140625" style="1" customWidth="1"/>
    <col min="3" max="3" width="13.28515625" style="1" customWidth="1"/>
    <col min="4" max="4" width="13.140625" style="1" customWidth="1"/>
    <col min="5" max="5" width="37.7109375" style="1" customWidth="1"/>
    <col min="6" max="6" width="56.140625" style="1" customWidth="1"/>
    <col min="7" max="7" width="9.28515625" style="1" customWidth="1"/>
    <col min="8" max="8" width="15.140625" style="1" customWidth="1"/>
    <col min="9" max="9" width="15.5703125" style="1" bestFit="1" customWidth="1"/>
    <col min="10" max="10" width="23" style="1" customWidth="1"/>
    <col min="11" max="11" width="41.28515625" style="1" customWidth="1"/>
    <col min="12" max="28" width="9.140625" style="1"/>
    <col min="29" max="29" width="7" style="1" hidden="1" customWidth="1"/>
    <col min="30" max="16384" width="9.140625" style="1"/>
  </cols>
  <sheetData>
    <row r="1" spans="1:29" ht="15" x14ac:dyDescent="0.2">
      <c r="A1" s="131" t="s">
        <v>486</v>
      </c>
    </row>
    <row r="2" spans="1:29" ht="15.75" x14ac:dyDescent="0.2">
      <c r="B2" s="146" t="s">
        <v>530</v>
      </c>
      <c r="I2" s="62"/>
    </row>
    <row r="3" spans="1:29" ht="15" x14ac:dyDescent="0.2">
      <c r="H3" s="178" t="s">
        <v>345</v>
      </c>
      <c r="I3" s="178"/>
      <c r="J3" s="178"/>
    </row>
    <row r="4" spans="1:29" ht="21" customHeight="1" x14ac:dyDescent="0.2">
      <c r="A4" s="12" t="s">
        <v>507</v>
      </c>
      <c r="B4" s="12"/>
      <c r="E4" s="13"/>
      <c r="F4" s="13"/>
      <c r="G4" s="13"/>
      <c r="H4" s="63">
        <f t="shared" ref="H4" si="0">SUM(H9:H18)</f>
        <v>0</v>
      </c>
      <c r="I4" s="64">
        <f>SUM(I9:I18)</f>
        <v>0</v>
      </c>
      <c r="J4" s="64">
        <f>SUM(J9:J18)</f>
        <v>0</v>
      </c>
      <c r="K4" s="13"/>
    </row>
    <row r="5" spans="1:29" ht="36" x14ac:dyDescent="0.2">
      <c r="A5" s="166" t="s">
        <v>7</v>
      </c>
      <c r="B5" s="166" t="s">
        <v>378</v>
      </c>
      <c r="C5" s="166" t="s">
        <v>536</v>
      </c>
      <c r="D5" s="166" t="s">
        <v>25</v>
      </c>
      <c r="E5" s="166" t="s">
        <v>26</v>
      </c>
      <c r="F5" s="166" t="s">
        <v>27</v>
      </c>
      <c r="G5" s="166" t="s">
        <v>382</v>
      </c>
      <c r="H5" s="39" t="s">
        <v>379</v>
      </c>
      <c r="I5" s="166" t="s">
        <v>54</v>
      </c>
      <c r="J5" s="169" t="s">
        <v>60</v>
      </c>
      <c r="K5" s="166" t="s">
        <v>22</v>
      </c>
    </row>
    <row r="6" spans="1:29" ht="51" customHeight="1" x14ac:dyDescent="0.2">
      <c r="A6" s="167"/>
      <c r="B6" s="167"/>
      <c r="C6" s="167"/>
      <c r="D6" s="167"/>
      <c r="E6" s="167"/>
      <c r="F6" s="167"/>
      <c r="G6" s="167"/>
      <c r="H6" s="39" t="s">
        <v>380</v>
      </c>
      <c r="I6" s="167"/>
      <c r="J6" s="170"/>
      <c r="K6" s="167"/>
    </row>
    <row r="7" spans="1:29" x14ac:dyDescent="0.2">
      <c r="A7" s="19">
        <v>1</v>
      </c>
      <c r="B7" s="19">
        <f>A7+1</f>
        <v>2</v>
      </c>
      <c r="C7" s="19">
        <f t="shared" ref="C7:D7" si="1">B7+1</f>
        <v>3</v>
      </c>
      <c r="D7" s="19">
        <f t="shared" si="1"/>
        <v>4</v>
      </c>
      <c r="E7" s="19">
        <f t="shared" ref="E7:K7" si="2">D7+1</f>
        <v>5</v>
      </c>
      <c r="F7" s="19">
        <f t="shared" si="2"/>
        <v>6</v>
      </c>
      <c r="G7" s="19">
        <f t="shared" ref="G7" si="3">F7+1</f>
        <v>7</v>
      </c>
      <c r="H7" s="19">
        <f t="shared" ref="H7" si="4">G7+1</f>
        <v>8</v>
      </c>
      <c r="I7" s="19">
        <f t="shared" si="2"/>
        <v>9</v>
      </c>
      <c r="J7" s="19">
        <f t="shared" si="2"/>
        <v>10</v>
      </c>
      <c r="K7" s="19">
        <f t="shared" si="2"/>
        <v>11</v>
      </c>
    </row>
    <row r="8" spans="1:29" ht="69" customHeight="1" x14ac:dyDescent="0.2">
      <c r="A8" s="15"/>
      <c r="B8" s="18" t="s">
        <v>61</v>
      </c>
      <c r="C8" s="15" t="s">
        <v>494</v>
      </c>
      <c r="D8" s="18" t="s">
        <v>39</v>
      </c>
      <c r="E8" s="18" t="s">
        <v>39</v>
      </c>
      <c r="F8" s="14" t="s">
        <v>508</v>
      </c>
      <c r="G8" s="14" t="s">
        <v>383</v>
      </c>
      <c r="H8" s="14" t="s">
        <v>381</v>
      </c>
      <c r="I8" s="16" t="s">
        <v>24</v>
      </c>
      <c r="J8" s="16" t="s">
        <v>34</v>
      </c>
      <c r="K8" s="16" t="s">
        <v>510</v>
      </c>
      <c r="AC8" s="37" t="s">
        <v>53</v>
      </c>
    </row>
    <row r="9" spans="1:29" ht="23.1" customHeight="1" x14ac:dyDescent="0.2">
      <c r="A9" s="3">
        <v>1</v>
      </c>
      <c r="B9" s="3">
        <f>tabela_informacyjna_dla_innych!$G$10</f>
        <v>0</v>
      </c>
      <c r="C9" s="57"/>
      <c r="D9" s="59" t="str">
        <f>IFERROR(CONCATENATE(VLOOKUP((VLOOKUP($C9,powiaty_26[[powiat]:[kod powiatu2]],2,FALSE)),powiaty_26[],katalogi!$D$1,FALSE),"_BDO"),"brak nazwy powiatu")</f>
        <v>brak nazwy powiatu</v>
      </c>
      <c r="E9" s="25" t="str">
        <f>IFERROR(VLOOKUP($D9,kat_zadania[],katalogi!$N$1-katalogi!$L$1,FALSE),"brak nazwy powiatu")</f>
        <v>brak nazwy powiatu</v>
      </c>
      <c r="F9" s="140"/>
      <c r="G9" s="140"/>
      <c r="H9" s="143"/>
      <c r="I9" s="137"/>
      <c r="J9" s="137"/>
      <c r="K9" s="138"/>
      <c r="AC9" s="1" t="b">
        <f>OR(NOT(ISBLANK(F9)),NOT(ISBLANK(#REF!)))</f>
        <v>1</v>
      </c>
    </row>
    <row r="10" spans="1:29" ht="23.1" customHeight="1" x14ac:dyDescent="0.2">
      <c r="A10" s="3">
        <v>2</v>
      </c>
      <c r="B10" s="3">
        <f>tabela_informacyjna_dla_innych!$G$10</f>
        <v>0</v>
      </c>
      <c r="C10" s="57"/>
      <c r="D10" s="59" t="str">
        <f>IFERROR(CONCATENATE(VLOOKUP((VLOOKUP($C10,powiaty_26[[powiat]:[kod powiatu2]],2,FALSE)),powiaty_26[],katalogi!$D$1,FALSE),"_BDO"),"brak nazwy powiatu")</f>
        <v>brak nazwy powiatu</v>
      </c>
      <c r="E10" s="25" t="str">
        <f>IFERROR(VLOOKUP($D10,kat_zadania[],katalogi!$N$1-katalogi!$L$1,FALSE),"brak nazwy powiatu")</f>
        <v>brak nazwy powiatu</v>
      </c>
      <c r="F10" s="140"/>
      <c r="G10" s="140"/>
      <c r="H10" s="143"/>
      <c r="I10" s="137"/>
      <c r="J10" s="137"/>
      <c r="K10" s="138"/>
      <c r="AC10" s="1" t="b">
        <f>OR(NOT(ISBLANK(F10)),NOT(ISBLANK(#REF!)))</f>
        <v>1</v>
      </c>
    </row>
    <row r="11" spans="1:29" ht="23.1" customHeight="1" x14ac:dyDescent="0.2">
      <c r="A11" s="3">
        <v>3</v>
      </c>
      <c r="B11" s="3">
        <f>tabela_informacyjna_dla_innych!$G$10</f>
        <v>0</v>
      </c>
      <c r="C11" s="57"/>
      <c r="D11" s="59" t="str">
        <f>IFERROR(CONCATENATE(VLOOKUP((VLOOKUP($C11,powiaty_26[[powiat]:[kod powiatu2]],2,FALSE)),powiaty_26[],katalogi!$D$1,FALSE),"_BDO"),"brak nazwy powiatu")</f>
        <v>brak nazwy powiatu</v>
      </c>
      <c r="E11" s="25" t="str">
        <f>IFERROR(VLOOKUP($D11,kat_zadania[],katalogi!$N$1-katalogi!$L$1,FALSE),"brak nazwy powiatu")</f>
        <v>brak nazwy powiatu</v>
      </c>
      <c r="F11" s="140"/>
      <c r="G11" s="140"/>
      <c r="H11" s="143"/>
      <c r="I11" s="137"/>
      <c r="J11" s="137"/>
      <c r="K11" s="138"/>
      <c r="AC11" s="1" t="b">
        <f>OR(NOT(ISBLANK(F11)),NOT(ISBLANK(#REF!)))</f>
        <v>1</v>
      </c>
    </row>
    <row r="12" spans="1:29" ht="23.1" customHeight="1" x14ac:dyDescent="0.2">
      <c r="A12" s="3">
        <v>4</v>
      </c>
      <c r="B12" s="3">
        <f>tabela_informacyjna_dla_innych!$G$10</f>
        <v>0</v>
      </c>
      <c r="C12" s="57"/>
      <c r="D12" s="59" t="str">
        <f>IFERROR(CONCATENATE(VLOOKUP((VLOOKUP($C12,powiaty_26[[powiat]:[kod powiatu2]],2,FALSE)),powiaty_26[],katalogi!$D$1,FALSE),"_BDO"),"brak nazwy powiatu")</f>
        <v>brak nazwy powiatu</v>
      </c>
      <c r="E12" s="25" t="str">
        <f>IFERROR(VLOOKUP($D12,kat_zadania[],katalogi!$N$1-katalogi!$L$1,FALSE),"brak nazwy powiatu")</f>
        <v>brak nazwy powiatu</v>
      </c>
      <c r="F12" s="140"/>
      <c r="G12" s="140"/>
      <c r="H12" s="143"/>
      <c r="I12" s="137"/>
      <c r="J12" s="137"/>
      <c r="K12" s="138"/>
      <c r="AC12" s="1" t="b">
        <f>OR(NOT(ISBLANK(F12)),NOT(ISBLANK(#REF!)))</f>
        <v>1</v>
      </c>
    </row>
    <row r="13" spans="1:29" ht="23.1" customHeight="1" x14ac:dyDescent="0.2">
      <c r="A13" s="3">
        <v>5</v>
      </c>
      <c r="B13" s="3">
        <f>tabela_informacyjna_dla_innych!$G$10</f>
        <v>0</v>
      </c>
      <c r="C13" s="57"/>
      <c r="D13" s="59" t="str">
        <f>IFERROR(CONCATENATE(VLOOKUP((VLOOKUP($C13,powiaty_26[[powiat]:[kod powiatu2]],2,FALSE)),powiaty_26[],katalogi!$D$1,FALSE),"_BDO"),"brak nazwy powiatu")</f>
        <v>brak nazwy powiatu</v>
      </c>
      <c r="E13" s="25" t="str">
        <f>IFERROR(VLOOKUP($D13,kat_zadania[],katalogi!$N$1-katalogi!$L$1,FALSE),"brak nazwy powiatu")</f>
        <v>brak nazwy powiatu</v>
      </c>
      <c r="F13" s="140"/>
      <c r="G13" s="140"/>
      <c r="H13" s="143"/>
      <c r="I13" s="137"/>
      <c r="J13" s="137"/>
      <c r="K13" s="138"/>
      <c r="AC13" s="1" t="b">
        <f>OR(NOT(ISBLANK(F13)),NOT(ISBLANK(#REF!)))</f>
        <v>1</v>
      </c>
    </row>
    <row r="14" spans="1:29" ht="23.1" customHeight="1" x14ac:dyDescent="0.2">
      <c r="A14" s="3">
        <v>6</v>
      </c>
      <c r="B14" s="3">
        <f>tabela_informacyjna_dla_innych!$G$10</f>
        <v>0</v>
      </c>
      <c r="C14" s="57"/>
      <c r="D14" s="59" t="str">
        <f>IFERROR(CONCATENATE(VLOOKUP((VLOOKUP($C14,powiaty_26[[powiat]:[kod powiatu2]],2,FALSE)),powiaty_26[],katalogi!$D$1,FALSE),"_BDO"),"brak nazwy powiatu")</f>
        <v>brak nazwy powiatu</v>
      </c>
      <c r="E14" s="25" t="str">
        <f>IFERROR(VLOOKUP($D14,kat_zadania[],katalogi!$N$1-katalogi!$L$1,FALSE),"brak nazwy powiatu")</f>
        <v>brak nazwy powiatu</v>
      </c>
      <c r="F14" s="140"/>
      <c r="G14" s="140"/>
      <c r="H14" s="143"/>
      <c r="I14" s="137"/>
      <c r="J14" s="137"/>
      <c r="K14" s="138"/>
      <c r="AC14" s="1" t="b">
        <f>OR(NOT(ISBLANK(F14)),NOT(ISBLANK(#REF!)))</f>
        <v>1</v>
      </c>
    </row>
    <row r="15" spans="1:29" ht="23.1" customHeight="1" x14ac:dyDescent="0.2">
      <c r="A15" s="3">
        <v>7</v>
      </c>
      <c r="B15" s="3">
        <f>tabela_informacyjna_dla_innych!$G$10</f>
        <v>0</v>
      </c>
      <c r="C15" s="57"/>
      <c r="D15" s="59" t="str">
        <f>IFERROR(CONCATENATE(VLOOKUP((VLOOKUP($C15,powiaty_26[[powiat]:[kod powiatu2]],2,FALSE)),powiaty_26[],katalogi!$D$1,FALSE),"_BDO"),"brak nazwy powiatu")</f>
        <v>brak nazwy powiatu</v>
      </c>
      <c r="E15" s="25" t="str">
        <f>IFERROR(VLOOKUP($D15,kat_zadania[],katalogi!$N$1-katalogi!$L$1,FALSE),"brak nazwy powiatu")</f>
        <v>brak nazwy powiatu</v>
      </c>
      <c r="F15" s="140"/>
      <c r="G15" s="140"/>
      <c r="H15" s="143"/>
      <c r="I15" s="137"/>
      <c r="J15" s="137"/>
      <c r="K15" s="138"/>
      <c r="AC15" s="1" t="b">
        <f>OR(NOT(ISBLANK(F15)),NOT(ISBLANK(#REF!)))</f>
        <v>1</v>
      </c>
    </row>
    <row r="16" spans="1:29" ht="23.1" customHeight="1" x14ac:dyDescent="0.2">
      <c r="A16" s="3">
        <v>8</v>
      </c>
      <c r="B16" s="3">
        <f>tabela_informacyjna_dla_innych!$G$10</f>
        <v>0</v>
      </c>
      <c r="C16" s="57"/>
      <c r="D16" s="59" t="str">
        <f>IFERROR(CONCATENATE(VLOOKUP((VLOOKUP($C16,powiaty_26[[powiat]:[kod powiatu2]],2,FALSE)),powiaty_26[],katalogi!$D$1,FALSE),"_BDO"),"brak nazwy powiatu")</f>
        <v>brak nazwy powiatu</v>
      </c>
      <c r="E16" s="25" t="str">
        <f>IFERROR(VLOOKUP($D16,kat_zadania[],katalogi!$N$1-katalogi!$L$1,FALSE),"brak nazwy powiatu")</f>
        <v>brak nazwy powiatu</v>
      </c>
      <c r="F16" s="140"/>
      <c r="G16" s="140"/>
      <c r="H16" s="143"/>
      <c r="I16" s="137"/>
      <c r="J16" s="137"/>
      <c r="K16" s="138"/>
      <c r="AC16" s="1" t="b">
        <f>OR(NOT(ISBLANK(F16)),NOT(ISBLANK(#REF!)))</f>
        <v>1</v>
      </c>
    </row>
    <row r="17" spans="1:29" ht="23.1" customHeight="1" x14ac:dyDescent="0.2">
      <c r="A17" s="3">
        <v>9</v>
      </c>
      <c r="B17" s="3">
        <f>tabela_informacyjna_dla_innych!$G$10</f>
        <v>0</v>
      </c>
      <c r="C17" s="57"/>
      <c r="D17" s="59" t="str">
        <f>IFERROR(CONCATENATE(VLOOKUP((VLOOKUP($C17,powiaty_26[[powiat]:[kod powiatu2]],2,FALSE)),powiaty_26[],katalogi!$D$1,FALSE),"_BDO"),"brak nazwy powiatu")</f>
        <v>brak nazwy powiatu</v>
      </c>
      <c r="E17" s="25" t="str">
        <f>IFERROR(VLOOKUP($D17,kat_zadania[],katalogi!$N$1-katalogi!$L$1,FALSE),"brak nazwy powiatu")</f>
        <v>brak nazwy powiatu</v>
      </c>
      <c r="F17" s="140"/>
      <c r="G17" s="140"/>
      <c r="H17" s="143"/>
      <c r="I17" s="137"/>
      <c r="J17" s="137"/>
      <c r="K17" s="138"/>
      <c r="AC17" s="1" t="b">
        <f>OR(NOT(ISBLANK(F17)),NOT(ISBLANK(#REF!)))</f>
        <v>1</v>
      </c>
    </row>
    <row r="18" spans="1:29" ht="23.1" customHeight="1" x14ac:dyDescent="0.2">
      <c r="A18" s="3">
        <v>10</v>
      </c>
      <c r="B18" s="3">
        <f>tabela_informacyjna_dla_innych!$G$10</f>
        <v>0</v>
      </c>
      <c r="C18" s="57"/>
      <c r="D18" s="59" t="str">
        <f>IFERROR(CONCATENATE(VLOOKUP((VLOOKUP($C18,powiaty_26[[powiat]:[kod powiatu2]],2,FALSE)),powiaty_26[],katalogi!$D$1,FALSE),"_BDO"),"brak nazwy powiatu")</f>
        <v>brak nazwy powiatu</v>
      </c>
      <c r="E18" s="25" t="str">
        <f>IFERROR(VLOOKUP($D18,kat_zadania[],katalogi!$N$1-katalogi!$L$1,FALSE),"brak nazwy powiatu")</f>
        <v>brak nazwy powiatu</v>
      </c>
      <c r="F18" s="140"/>
      <c r="G18" s="140"/>
      <c r="H18" s="143"/>
      <c r="I18" s="137"/>
      <c r="J18" s="137"/>
      <c r="K18" s="138"/>
      <c r="AC18" s="1" t="b">
        <f>OR(NOT(ISBLANK(F18)),NOT(ISBLANK(#REF!)))</f>
        <v>1</v>
      </c>
    </row>
  </sheetData>
  <sheetProtection formatCells="0" formatRows="0" sort="0" autoFilter="0" pivotTables="0"/>
  <mergeCells count="11">
    <mergeCell ref="K5:K6"/>
    <mergeCell ref="H3:J3"/>
    <mergeCell ref="A5:A6"/>
    <mergeCell ref="C5:C6"/>
    <mergeCell ref="D5:D6"/>
    <mergeCell ref="E5:E6"/>
    <mergeCell ref="F5:F6"/>
    <mergeCell ref="B5:B6"/>
    <mergeCell ref="G5:G6"/>
    <mergeCell ref="I5:I6"/>
    <mergeCell ref="J5:J6"/>
  </mergeCells>
  <conditionalFormatting sqref="B9:B18">
    <cfRule type="cellIs" dxfId="0" priority="1" operator="equal">
      <formula>0</formula>
    </cfRule>
  </conditionalFormatting>
  <dataValidations count="2">
    <dataValidation type="decimal" operator="greaterThanOrEqual" allowBlank="1" showInputMessage="1" showErrorMessage="1" error="Proszę podać wartość liczbową!" sqref="H9:J18">
      <formula1>0</formula1>
    </dataValidation>
    <dataValidation type="list" allowBlank="1" showInputMessage="1" showErrorMessage="1" sqref="C9:C18">
      <formula1>nazwy_powiaty</formula1>
    </dataValidation>
  </dataValidation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sheetPr>
  <dimension ref="A2:C27"/>
  <sheetViews>
    <sheetView tabSelected="1" workbookViewId="0">
      <selection activeCell="A8" sqref="A8:B8"/>
    </sheetView>
  </sheetViews>
  <sheetFormatPr defaultColWidth="10" defaultRowHeight="12" x14ac:dyDescent="0.2"/>
  <cols>
    <col min="1" max="1" width="38" style="1" customWidth="1"/>
    <col min="2" max="2" width="64.7109375" style="1" customWidth="1"/>
    <col min="3" max="3" width="36.28515625" style="1" customWidth="1"/>
    <col min="4" max="9" width="9.7109375" style="1" customWidth="1"/>
    <col min="10" max="16384" width="10" style="1"/>
  </cols>
  <sheetData>
    <row r="2" spans="1:3" ht="19.899999999999999" customHeight="1" x14ac:dyDescent="0.2">
      <c r="A2" s="12" t="s">
        <v>447</v>
      </c>
      <c r="B2" s="2"/>
    </row>
    <row r="3" spans="1:3" x14ac:dyDescent="0.2">
      <c r="A3" s="188" t="s">
        <v>430</v>
      </c>
      <c r="B3" s="188"/>
      <c r="C3" s="102" t="s">
        <v>445</v>
      </c>
    </row>
    <row r="4" spans="1:3" ht="25.5" x14ac:dyDescent="0.2">
      <c r="A4" s="103" t="s">
        <v>431</v>
      </c>
      <c r="B4" s="152" t="s">
        <v>554</v>
      </c>
      <c r="C4" s="106" t="s">
        <v>432</v>
      </c>
    </row>
    <row r="5" spans="1:3" ht="96" x14ac:dyDescent="0.2">
      <c r="A5" s="104" t="s">
        <v>523</v>
      </c>
      <c r="B5" s="144"/>
      <c r="C5" s="107" t="s">
        <v>522</v>
      </c>
    </row>
    <row r="6" spans="1:3" ht="38.25" customHeight="1" x14ac:dyDescent="0.2">
      <c r="A6" s="105" t="s">
        <v>433</v>
      </c>
      <c r="B6" s="101"/>
      <c r="C6" s="106" t="s">
        <v>524</v>
      </c>
    </row>
    <row r="7" spans="1:3" x14ac:dyDescent="0.2">
      <c r="A7" s="187" t="s">
        <v>435</v>
      </c>
      <c r="B7" s="187"/>
      <c r="C7" s="106"/>
    </row>
    <row r="8" spans="1:3" ht="14.25" customHeight="1" x14ac:dyDescent="0.2">
      <c r="A8" s="186" t="s">
        <v>548</v>
      </c>
      <c r="B8" s="186"/>
      <c r="C8" s="106" t="s">
        <v>434</v>
      </c>
    </row>
    <row r="9" spans="1:3" ht="38.450000000000003" customHeight="1" x14ac:dyDescent="0.2">
      <c r="A9" s="103" t="s">
        <v>525</v>
      </c>
      <c r="B9" s="144"/>
      <c r="C9" s="107" t="s">
        <v>522</v>
      </c>
    </row>
    <row r="10" spans="1:3" x14ac:dyDescent="0.2">
      <c r="A10" s="187" t="s">
        <v>526</v>
      </c>
      <c r="B10" s="187"/>
      <c r="C10" s="107"/>
    </row>
    <row r="11" spans="1:3" ht="28.5" customHeight="1" x14ac:dyDescent="0.2">
      <c r="A11" s="186" t="s">
        <v>549</v>
      </c>
      <c r="B11" s="186"/>
      <c r="C11" s="106" t="s">
        <v>446</v>
      </c>
    </row>
    <row r="12" spans="1:3" x14ac:dyDescent="0.2">
      <c r="A12" s="187" t="s">
        <v>436</v>
      </c>
      <c r="B12" s="187"/>
      <c r="C12" s="107"/>
    </row>
    <row r="13" spans="1:3" ht="110.45" customHeight="1" x14ac:dyDescent="0.2">
      <c r="A13" s="104" t="s">
        <v>527</v>
      </c>
      <c r="B13" s="145"/>
      <c r="C13" s="107" t="s">
        <v>448</v>
      </c>
    </row>
    <row r="14" spans="1:3" ht="24" x14ac:dyDescent="0.2">
      <c r="A14" s="104" t="s">
        <v>437</v>
      </c>
      <c r="B14" s="100"/>
      <c r="C14" s="107" t="s">
        <v>432</v>
      </c>
    </row>
    <row r="15" spans="1:3" x14ac:dyDescent="0.2">
      <c r="A15" s="187" t="s">
        <v>528</v>
      </c>
      <c r="B15" s="187"/>
      <c r="C15" s="107"/>
    </row>
    <row r="16" spans="1:3" ht="60" customHeight="1" x14ac:dyDescent="0.2">
      <c r="A16" s="186" t="s">
        <v>550</v>
      </c>
      <c r="B16" s="186"/>
      <c r="C16" s="107" t="s">
        <v>438</v>
      </c>
    </row>
    <row r="17" spans="1:3" x14ac:dyDescent="0.2">
      <c r="A17" s="189" t="s">
        <v>439</v>
      </c>
      <c r="B17" s="189"/>
      <c r="C17" s="107"/>
    </row>
    <row r="18" spans="1:3" x14ac:dyDescent="0.2">
      <c r="A18" s="187" t="s">
        <v>440</v>
      </c>
      <c r="B18" s="187"/>
      <c r="C18" s="107"/>
    </row>
    <row r="19" spans="1:3" ht="60" customHeight="1" x14ac:dyDescent="0.2">
      <c r="A19" s="186" t="s">
        <v>551</v>
      </c>
      <c r="B19" s="186"/>
      <c r="C19" s="107" t="s">
        <v>438</v>
      </c>
    </row>
    <row r="20" spans="1:3" x14ac:dyDescent="0.2">
      <c r="A20" s="187" t="s">
        <v>441</v>
      </c>
      <c r="B20" s="187"/>
      <c r="C20" s="107"/>
    </row>
    <row r="21" spans="1:3" ht="60" customHeight="1" x14ac:dyDescent="0.2">
      <c r="A21" s="186" t="s">
        <v>552</v>
      </c>
      <c r="B21" s="186"/>
      <c r="C21" s="107" t="s">
        <v>438</v>
      </c>
    </row>
    <row r="22" spans="1:3" ht="26.25" customHeight="1" x14ac:dyDescent="0.2">
      <c r="A22" s="187" t="s">
        <v>529</v>
      </c>
      <c r="B22" s="187"/>
      <c r="C22" s="107"/>
    </row>
    <row r="23" spans="1:3" ht="60" customHeight="1" x14ac:dyDescent="0.2">
      <c r="A23" s="186" t="s">
        <v>555</v>
      </c>
      <c r="B23" s="186"/>
      <c r="C23" s="107" t="s">
        <v>438</v>
      </c>
    </row>
    <row r="24" spans="1:3" x14ac:dyDescent="0.2">
      <c r="A24" s="187" t="s">
        <v>442</v>
      </c>
      <c r="B24" s="187"/>
      <c r="C24" s="107"/>
    </row>
    <row r="25" spans="1:3" ht="60" customHeight="1" x14ac:dyDescent="0.2">
      <c r="A25" s="186" t="s">
        <v>553</v>
      </c>
      <c r="B25" s="186"/>
      <c r="C25" s="107" t="s">
        <v>438</v>
      </c>
    </row>
    <row r="26" spans="1:3" x14ac:dyDescent="0.2">
      <c r="A26" s="187" t="s">
        <v>443</v>
      </c>
      <c r="B26" s="187"/>
      <c r="C26" s="107"/>
    </row>
    <row r="27" spans="1:3" ht="60" customHeight="1" x14ac:dyDescent="0.2">
      <c r="A27" s="186" t="s">
        <v>553</v>
      </c>
      <c r="B27" s="186"/>
      <c r="C27" s="107" t="s">
        <v>444</v>
      </c>
    </row>
  </sheetData>
  <mergeCells count="19">
    <mergeCell ref="A20:B20"/>
    <mergeCell ref="A3:B3"/>
    <mergeCell ref="A7:B7"/>
    <mergeCell ref="A8:B8"/>
    <mergeCell ref="A10:B10"/>
    <mergeCell ref="A11:B11"/>
    <mergeCell ref="A12:B12"/>
    <mergeCell ref="A15:B15"/>
    <mergeCell ref="A16:B16"/>
    <mergeCell ref="A17:B17"/>
    <mergeCell ref="A18:B18"/>
    <mergeCell ref="A19:B19"/>
    <mergeCell ref="A27:B27"/>
    <mergeCell ref="A21:B21"/>
    <mergeCell ref="A22:B22"/>
    <mergeCell ref="A23:B23"/>
    <mergeCell ref="A24:B24"/>
    <mergeCell ref="A25:B25"/>
    <mergeCell ref="A26:B26"/>
  </mergeCells>
  <hyperlinks>
    <hyperlink ref="B4"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41" r:id="rId5" name="Check Box 1">
              <controlPr defaultSize="0" autoFill="0" autoLine="0" autoPict="0">
                <anchor moveWithCells="1">
                  <from>
                    <xdr:col>1</xdr:col>
                    <xdr:colOff>0</xdr:colOff>
                    <xdr:row>4</xdr:row>
                    <xdr:rowOff>0</xdr:rowOff>
                  </from>
                  <to>
                    <xdr:col>1</xdr:col>
                    <xdr:colOff>1190625</xdr:colOff>
                    <xdr:row>4</xdr:row>
                    <xdr:rowOff>276225</xdr:rowOff>
                  </to>
                </anchor>
              </controlPr>
            </control>
          </mc:Choice>
        </mc:AlternateContent>
        <mc:AlternateContent xmlns:mc="http://schemas.openxmlformats.org/markup-compatibility/2006">
          <mc:Choice Requires="x14">
            <control shapeId="10242" r:id="rId6" name="Check Box 2">
              <controlPr defaultSize="0" autoFill="0" autoLine="0" autoPict="0">
                <anchor moveWithCells="1">
                  <from>
                    <xdr:col>1</xdr:col>
                    <xdr:colOff>0</xdr:colOff>
                    <xdr:row>4</xdr:row>
                    <xdr:rowOff>180975</xdr:rowOff>
                  </from>
                  <to>
                    <xdr:col>1</xdr:col>
                    <xdr:colOff>990600</xdr:colOff>
                    <xdr:row>4</xdr:row>
                    <xdr:rowOff>581025</xdr:rowOff>
                  </to>
                </anchor>
              </controlPr>
            </control>
          </mc:Choice>
        </mc:AlternateContent>
        <mc:AlternateContent xmlns:mc="http://schemas.openxmlformats.org/markup-compatibility/2006">
          <mc:Choice Requires="x14">
            <control shapeId="10243" r:id="rId7" name="Check Box 3">
              <controlPr defaultSize="0" autoFill="0" autoLine="0" autoPict="0">
                <anchor moveWithCells="1">
                  <from>
                    <xdr:col>1</xdr:col>
                    <xdr:colOff>0</xdr:colOff>
                    <xdr:row>4</xdr:row>
                    <xdr:rowOff>514350</xdr:rowOff>
                  </from>
                  <to>
                    <xdr:col>1</xdr:col>
                    <xdr:colOff>1038225</xdr:colOff>
                    <xdr:row>4</xdr:row>
                    <xdr:rowOff>742950</xdr:rowOff>
                  </to>
                </anchor>
              </controlPr>
            </control>
          </mc:Choice>
        </mc:AlternateContent>
        <mc:AlternateContent xmlns:mc="http://schemas.openxmlformats.org/markup-compatibility/2006">
          <mc:Choice Requires="x14">
            <control shapeId="10244" r:id="rId8" name="Check Box 4">
              <controlPr defaultSize="0" autoFill="0" autoLine="0" autoPict="0">
                <anchor moveWithCells="1">
                  <from>
                    <xdr:col>1</xdr:col>
                    <xdr:colOff>0</xdr:colOff>
                    <xdr:row>4</xdr:row>
                    <xdr:rowOff>752475</xdr:rowOff>
                  </from>
                  <to>
                    <xdr:col>1</xdr:col>
                    <xdr:colOff>1038225</xdr:colOff>
                    <xdr:row>4</xdr:row>
                    <xdr:rowOff>962025</xdr:rowOff>
                  </to>
                </anchor>
              </controlPr>
            </control>
          </mc:Choice>
        </mc:AlternateContent>
        <mc:AlternateContent xmlns:mc="http://schemas.openxmlformats.org/markup-compatibility/2006">
          <mc:Choice Requires="x14">
            <control shapeId="10245" r:id="rId9" name="Check Box 5">
              <controlPr defaultSize="0" autoFill="0" autoLine="0" autoPict="0">
                <anchor moveWithCells="1">
                  <from>
                    <xdr:col>1</xdr:col>
                    <xdr:colOff>19050</xdr:colOff>
                    <xdr:row>8</xdr:row>
                    <xdr:rowOff>0</xdr:rowOff>
                  </from>
                  <to>
                    <xdr:col>1</xdr:col>
                    <xdr:colOff>1009650</xdr:colOff>
                    <xdr:row>8</xdr:row>
                    <xdr:rowOff>209550</xdr:rowOff>
                  </to>
                </anchor>
              </controlPr>
            </control>
          </mc:Choice>
        </mc:AlternateContent>
        <mc:AlternateContent xmlns:mc="http://schemas.openxmlformats.org/markup-compatibility/2006">
          <mc:Choice Requires="x14">
            <control shapeId="10246" r:id="rId10" name="Check Box 6">
              <controlPr defaultSize="0" autoFill="0" autoLine="0" autoPict="0">
                <anchor moveWithCells="1">
                  <from>
                    <xdr:col>1</xdr:col>
                    <xdr:colOff>19050</xdr:colOff>
                    <xdr:row>8</xdr:row>
                    <xdr:rowOff>209550</xdr:rowOff>
                  </from>
                  <to>
                    <xdr:col>1</xdr:col>
                    <xdr:colOff>1123950</xdr:colOff>
                    <xdr:row>8</xdr:row>
                    <xdr:rowOff>457200</xdr:rowOff>
                  </to>
                </anchor>
              </controlPr>
            </control>
          </mc:Choice>
        </mc:AlternateContent>
        <mc:AlternateContent xmlns:mc="http://schemas.openxmlformats.org/markup-compatibility/2006">
          <mc:Choice Requires="x14">
            <control shapeId="10247" r:id="rId11" name="Check Box 7">
              <controlPr defaultSize="0" autoFill="0" autoLine="0" autoPict="0">
                <anchor moveWithCells="1">
                  <from>
                    <xdr:col>1</xdr:col>
                    <xdr:colOff>19050</xdr:colOff>
                    <xdr:row>12</xdr:row>
                    <xdr:rowOff>47625</xdr:rowOff>
                  </from>
                  <to>
                    <xdr:col>1</xdr:col>
                    <xdr:colOff>1009650</xdr:colOff>
                    <xdr:row>12</xdr:row>
                    <xdr:rowOff>314325</xdr:rowOff>
                  </to>
                </anchor>
              </controlPr>
            </control>
          </mc:Choice>
        </mc:AlternateContent>
        <mc:AlternateContent xmlns:mc="http://schemas.openxmlformats.org/markup-compatibility/2006">
          <mc:Choice Requires="x14">
            <control shapeId="10248" r:id="rId12" name="Check Box 8">
              <controlPr defaultSize="0" autoFill="0" autoLine="0" autoPict="0">
                <anchor moveWithCells="1">
                  <from>
                    <xdr:col>1</xdr:col>
                    <xdr:colOff>19050</xdr:colOff>
                    <xdr:row>12</xdr:row>
                    <xdr:rowOff>285750</xdr:rowOff>
                  </from>
                  <to>
                    <xdr:col>1</xdr:col>
                    <xdr:colOff>1009650</xdr:colOff>
                    <xdr:row>12</xdr:row>
                    <xdr:rowOff>542925</xdr:rowOff>
                  </to>
                </anchor>
              </controlPr>
            </control>
          </mc:Choice>
        </mc:AlternateContent>
        <mc:AlternateContent xmlns:mc="http://schemas.openxmlformats.org/markup-compatibility/2006">
          <mc:Choice Requires="x14">
            <control shapeId="10249" r:id="rId13" name="Check Box 9">
              <controlPr defaultSize="0" autoFill="0" autoLine="0" autoPict="0">
                <anchor moveWithCells="1">
                  <from>
                    <xdr:col>1</xdr:col>
                    <xdr:colOff>19050</xdr:colOff>
                    <xdr:row>12</xdr:row>
                    <xdr:rowOff>466725</xdr:rowOff>
                  </from>
                  <to>
                    <xdr:col>1</xdr:col>
                    <xdr:colOff>1009650</xdr:colOff>
                    <xdr:row>12</xdr:row>
                    <xdr:rowOff>752475</xdr:rowOff>
                  </to>
                </anchor>
              </controlPr>
            </control>
          </mc:Choice>
        </mc:AlternateContent>
        <mc:AlternateContent xmlns:mc="http://schemas.openxmlformats.org/markup-compatibility/2006">
          <mc:Choice Requires="x14">
            <control shapeId="10250" r:id="rId14" name="Check Box 10">
              <controlPr defaultSize="0" autoFill="0" autoLine="0" autoPict="0">
                <anchor moveWithCells="1">
                  <from>
                    <xdr:col>1</xdr:col>
                    <xdr:colOff>19050</xdr:colOff>
                    <xdr:row>12</xdr:row>
                    <xdr:rowOff>666750</xdr:rowOff>
                  </from>
                  <to>
                    <xdr:col>1</xdr:col>
                    <xdr:colOff>1009650</xdr:colOff>
                    <xdr:row>12</xdr:row>
                    <xdr:rowOff>962025</xdr:rowOff>
                  </to>
                </anchor>
              </controlPr>
            </control>
          </mc:Choice>
        </mc:AlternateContent>
        <mc:AlternateContent xmlns:mc="http://schemas.openxmlformats.org/markup-compatibility/2006">
          <mc:Choice Requires="x14">
            <control shapeId="10251" r:id="rId15" name="Check Box 11">
              <controlPr defaultSize="0" autoFill="0" autoLine="0" autoPict="0">
                <anchor moveWithCells="1">
                  <from>
                    <xdr:col>1</xdr:col>
                    <xdr:colOff>19050</xdr:colOff>
                    <xdr:row>12</xdr:row>
                    <xdr:rowOff>895350</xdr:rowOff>
                  </from>
                  <to>
                    <xdr:col>1</xdr:col>
                    <xdr:colOff>1009650</xdr:colOff>
                    <xdr:row>12</xdr:row>
                    <xdr:rowOff>1181100</xdr:rowOff>
                  </to>
                </anchor>
              </controlPr>
            </control>
          </mc:Choice>
        </mc:AlternateContent>
        <mc:AlternateContent xmlns:mc="http://schemas.openxmlformats.org/markup-compatibility/2006">
          <mc:Choice Requires="x14">
            <control shapeId="10252" r:id="rId16" name="Check Box 12">
              <controlPr defaultSize="0" autoFill="0" autoLine="0" autoPict="0">
                <anchor moveWithCells="1">
                  <from>
                    <xdr:col>1</xdr:col>
                    <xdr:colOff>19050</xdr:colOff>
                    <xdr:row>12</xdr:row>
                    <xdr:rowOff>1104900</xdr:rowOff>
                  </from>
                  <to>
                    <xdr:col>1</xdr:col>
                    <xdr:colOff>1009650</xdr:colOff>
                    <xdr:row>12</xdr:row>
                    <xdr:rowOff>1381125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15</vt:i4>
      </vt:variant>
      <vt:variant>
        <vt:lpstr>Zakresy nazwane</vt:lpstr>
      </vt:variant>
      <vt:variant>
        <vt:i4>26</vt:i4>
      </vt:variant>
    </vt:vector>
  </HeadingPairs>
  <TitlesOfParts>
    <vt:vector size="41" baseType="lpstr">
      <vt:lpstr>katalogi</vt:lpstr>
      <vt:lpstr>katalog_gmin_PL26</vt:lpstr>
      <vt:lpstr>wskaźniki_efektu</vt:lpstr>
      <vt:lpstr>instrukcja</vt:lpstr>
      <vt:lpstr>tabela_informacyjna_dla_JST</vt:lpstr>
      <vt:lpstr>tab.1_ZSO_gminy</vt:lpstr>
      <vt:lpstr>tab.1_ZSO_powiaty</vt:lpstr>
      <vt:lpstr>tab.2_EE_gminy</vt:lpstr>
      <vt:lpstr>tab.3_KPP</vt:lpstr>
      <vt:lpstr>tabela_informacyjna_dla_innych</vt:lpstr>
      <vt:lpstr>tab.1_ZSO_zarządcy</vt:lpstr>
      <vt:lpstr>tab.2_EE_org</vt:lpstr>
      <vt:lpstr>tab.4_BDO</vt:lpstr>
      <vt:lpstr>tab.5_PDK</vt:lpstr>
      <vt:lpstr>Arkusz1</vt:lpstr>
      <vt:lpstr>buski</vt:lpstr>
      <vt:lpstr>jędrzejowski</vt:lpstr>
      <vt:lpstr>kazimierski</vt:lpstr>
      <vt:lpstr>Kielce</vt:lpstr>
      <vt:lpstr>kielecki</vt:lpstr>
      <vt:lpstr>kod_efektu</vt:lpstr>
      <vt:lpstr>konecki</vt:lpstr>
      <vt:lpstr>monit_ZSO</vt:lpstr>
      <vt:lpstr>tab.1_ZSO_gminy!nazwy_gmin</vt:lpstr>
      <vt:lpstr>tab.1_ZSO_powiaty!nazwy_gmin</vt:lpstr>
      <vt:lpstr>tab.1_ZSO_zarządcy!nazwy_gmin</vt:lpstr>
      <vt:lpstr>tab.2_EE_org!nazwy_gmin</vt:lpstr>
      <vt:lpstr>tab.3_KPP!nazwy_gmin</vt:lpstr>
      <vt:lpstr>tab.4_BDO!nazwy_gmin</vt:lpstr>
      <vt:lpstr>tabela_informacyjna_dla_innych!nazwy_gmin</vt:lpstr>
      <vt:lpstr>nazwy_gmin</vt:lpstr>
      <vt:lpstr>nazwy_powiaty</vt:lpstr>
      <vt:lpstr>opatowski</vt:lpstr>
      <vt:lpstr>ostrowiecki</vt:lpstr>
      <vt:lpstr>pińczowski</vt:lpstr>
      <vt:lpstr>Powiaty</vt:lpstr>
      <vt:lpstr>sandomierski</vt:lpstr>
      <vt:lpstr>skarżyski</vt:lpstr>
      <vt:lpstr>starachowicki</vt:lpstr>
      <vt:lpstr>staszowski</vt:lpstr>
      <vt:lpstr>włoszczowski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dc:creator>
  <cp:lastModifiedBy>Olga Haber</cp:lastModifiedBy>
  <dcterms:created xsi:type="dcterms:W3CDTF">2014-03-17T07:23:47Z</dcterms:created>
  <dcterms:modified xsi:type="dcterms:W3CDTF">2024-02-12T13:47:59Z</dcterms:modified>
</cp:coreProperties>
</file>