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690" windowWidth="23055" windowHeight="5340" activeTab="4"/>
  </bookViews>
  <sheets>
    <sheet name="20 - podlaskie" sheetId="1" r:id="rId1"/>
    <sheet name="pow podst" sheetId="2" r:id="rId2"/>
    <sheet name="gm podst" sheetId="3" r:id="rId3"/>
    <sheet name="pow rez" sheetId="4" r:id="rId4"/>
    <sheet name="gm rez" sheetId="5" r:id="rId5"/>
  </sheets>
  <externalReferences>
    <externalReference r:id="rId8"/>
  </externalReferences>
  <definedNames>
    <definedName name="_xlfn.COUNTIFS" hidden="1">#NAME?</definedName>
    <definedName name="_xlnm.Print_Area" localSheetId="0">'20 - podlaskie'!$A$1:$O$35</definedName>
    <definedName name="_xlnm.Print_Area" localSheetId="2">'gm podst'!$A$1:$X$138</definedName>
    <definedName name="_xlnm.Print_Area" localSheetId="4">'gm rez'!$A$1:$X$100</definedName>
    <definedName name="_xlnm.Print_Area" localSheetId="1">'pow podst'!$A$1:$W$99</definedName>
    <definedName name="_xlnm.Print_Area" localSheetId="3">'pow rez'!$A$1:$W$77</definedName>
    <definedName name="_xlnm.Print_Titles" localSheetId="2">'gm podst'!$1:$2</definedName>
    <definedName name="_xlnm.Print_Titles" localSheetId="4">'gm rez'!$1:$2</definedName>
    <definedName name="_xlnm.Print_Titles" localSheetId="1">'pow podst'!$1:$2</definedName>
    <definedName name="_xlnm.Print_Titles" localSheetId="3">'pow rez'!$1:$2</definedName>
  </definedNames>
  <calcPr fullCalcOnLoad="1"/>
</workbook>
</file>

<file path=xl/comments5.xml><?xml version="1.0" encoding="utf-8"?>
<comments xmlns="http://schemas.openxmlformats.org/spreadsheetml/2006/main">
  <authors>
    <author>Łapińska Aleksandra</author>
  </authors>
  <commentList>
    <comment ref="C3" authorId="0">
      <text>
        <r>
          <rPr>
            <b/>
            <sz val="9"/>
            <rFont val="Tahoma"/>
            <family val="2"/>
          </rPr>
          <t>Łapińska Aleksandra:</t>
        </r>
        <r>
          <rPr>
            <sz val="9"/>
            <rFont val="Tahoma"/>
            <family val="2"/>
          </rPr>
          <t xml:space="preserve">
nowe wieloletnie</t>
        </r>
      </text>
    </comment>
  </commentList>
</comments>
</file>

<file path=xl/sharedStrings.xml><?xml version="1.0" encoding="utf-8"?>
<sst xmlns="http://schemas.openxmlformats.org/spreadsheetml/2006/main" count="2300" uniqueCount="727">
  <si>
    <t>Podsumowanie naboru:</t>
  </si>
  <si>
    <t>Kategoria drogi - rodzaj listy</t>
  </si>
  <si>
    <t>powiatowe - lista rezerwowa</t>
  </si>
  <si>
    <t>gminne - lista rezerwowa</t>
  </si>
  <si>
    <t>L.p.</t>
  </si>
  <si>
    <t>Nr ewid.</t>
  </si>
  <si>
    <t>Jednostka Samorządu Terytorialnego</t>
  </si>
  <si>
    <t>Nazwa zadania</t>
  </si>
  <si>
    <t>Długość odcinka (w km)</t>
  </si>
  <si>
    <t>Ogółem wartość projektu  (w zł)</t>
  </si>
  <si>
    <t>Wnioskowana kwota dofinansowania (w zł)</t>
  </si>
  <si>
    <t>% dofinansowania</t>
  </si>
  <si>
    <t>Kwota dofinansowania w podziale na lata</t>
  </si>
  <si>
    <t>Deklarowana kwota środków własnych (w zł)</t>
  </si>
  <si>
    <t>x</t>
  </si>
  <si>
    <t>Powiat</t>
  </si>
  <si>
    <t>Wnioskowana kwota dofinansowania
(w zł)</t>
  </si>
  <si>
    <t>Wnioskowana kwota dofinansowania
 (w zł)</t>
  </si>
  <si>
    <t>ZATWIERDZAM</t>
  </si>
  <si>
    <t>………………………………………………………………………………….</t>
  </si>
  <si>
    <t>Wartość zadań ogółem</t>
  </si>
  <si>
    <t>Deklarowana kwota środków własnych</t>
  </si>
  <si>
    <t>Kwota dofinasowania ogółem</t>
  </si>
  <si>
    <t>RAZEM listy rezerwowe</t>
  </si>
  <si>
    <t>Okres realizacji zadania</t>
  </si>
  <si>
    <t>B - budowa (rozbudowa), P - przebudowa, R - remont</t>
  </si>
  <si>
    <t>kolorem czerwonym oznaczono zadania wieloletnie</t>
  </si>
  <si>
    <t>Rodzaj zadania</t>
  </si>
  <si>
    <r>
      <t>Okres realizacji zadania</t>
    </r>
  </si>
  <si>
    <t>spr-lata</t>
  </si>
  <si>
    <t>spr-procent</t>
  </si>
  <si>
    <t>spr-dof</t>
  </si>
  <si>
    <t>spr-montaż</t>
  </si>
  <si>
    <t>TERC</t>
  </si>
  <si>
    <t>RAZEM listy</t>
  </si>
  <si>
    <t>Liczba zadań</t>
  </si>
  <si>
    <t>N - zadanie nowe, W - nowe zadanie wieloletnie</t>
  </si>
  <si>
    <t>powiatowe - lista podstawowa, z tego:</t>
  </si>
  <si>
    <t>kontynuowane zadania wieloletnie</t>
  </si>
  <si>
    <t>nowe zadania jednoroczne</t>
  </si>
  <si>
    <t>nowe zadania wieloletnie</t>
  </si>
  <si>
    <t>gminne - lista podstawowa, z tego:</t>
  </si>
  <si>
    <t>RAZEM listy podstawowe, z tego:</t>
  </si>
  <si>
    <t>N - nowe zadanie jednoroczne, K - kontynuowane zadanie wieloletnie z wcześniejszego naboru, W - nowe zadanie wieloletnie</t>
  </si>
  <si>
    <t>RAZEM, z tego:</t>
  </si>
  <si>
    <t>Zadanie nowe/wieloletnie [N/W]</t>
  </si>
  <si>
    <t>K</t>
  </si>
  <si>
    <t>B/P</t>
  </si>
  <si>
    <t>Powiat Białostocki</t>
  </si>
  <si>
    <t>B</t>
  </si>
  <si>
    <t>P</t>
  </si>
  <si>
    <t>Gmina Choroszcz</t>
  </si>
  <si>
    <t>Powiat białostocki</t>
  </si>
  <si>
    <t>Powiat sokólski</t>
  </si>
  <si>
    <t>Powiat grajewski</t>
  </si>
  <si>
    <t>Powiat bielski</t>
  </si>
  <si>
    <t>Powiat m. Łomża</t>
  </si>
  <si>
    <t>Powiat suwalski</t>
  </si>
  <si>
    <t>Powiat wysokomazowiecki</t>
  </si>
  <si>
    <t>Powiat moniecki</t>
  </si>
  <si>
    <t>Gmina Wasilków</t>
  </si>
  <si>
    <t>Powiat zambrowski</t>
  </si>
  <si>
    <t>Powiat łomżyński</t>
  </si>
  <si>
    <t>Powiat siemiatycki</t>
  </si>
  <si>
    <t>Zadanie nowe/
kontynuowane/wieloletnie [N/K/W]</t>
  </si>
  <si>
    <t>W</t>
  </si>
  <si>
    <t>Miasto Łomża</t>
  </si>
  <si>
    <t>Budowa drogi na odcinku od ul. Wojska Polskiego (DK61) do ul. Nowogrodzkiej (DW 645) w Łomży</t>
  </si>
  <si>
    <t>Powiat Sokólski</t>
  </si>
  <si>
    <t>Przebudowa drogi powiatowej nr 2616B ul. Drohicka od km 0+000-do km 1+000 oraz drogi nr 2095B na odcinku Ciechanowiec-Tworkowice w lok. 1+000 - 1+280</t>
  </si>
  <si>
    <t>05.2020-09.2022</t>
  </si>
  <si>
    <t>Przebudowa drogi powiatowej nr 2095B na odcinku Wojtkowice Stare-Wojtkowice Glinna</t>
  </si>
  <si>
    <t>06.2020-09.2022</t>
  </si>
  <si>
    <t>Przebudowa drogi powiatowej nr 1694B od drogi wojewódzkiej nr 681-Popławy-Puchały Stare-granica powiatu</t>
  </si>
  <si>
    <t>Przebudowa drogi powiatowej nr 2053B na odcinku Kalinowo Solki-Chojane Sierocięta-dr. pow. Nr 2052B</t>
  </si>
  <si>
    <t>R</t>
  </si>
  <si>
    <t>Gmina Zabłudów</t>
  </si>
  <si>
    <t>Rozbudowa drogi gminnej nr 106863B  Kudrycze-Pasynki-Zabłudów na terenie gminy Zabłudów, powiat białostocki, województwo podlaskie, na odcinku Kudrycze-Żuki  od km 0+043  do km 2+971</t>
  </si>
  <si>
    <t>Budowa drogi gminnej nr 101089B ul. Grabowej w Łomży</t>
  </si>
  <si>
    <t>Przebudowa dróg gminnych w Czyżewie nr 108015B-ul. Nowa i ul. Mała</t>
  </si>
  <si>
    <t>Budowa drogi od ul. Warszawskiej do ul.Podlaskiej - poprawa bezpieczeństwa i przepustowości ruchu w mieście Wysokie Mazowieckie</t>
  </si>
  <si>
    <t>05.2020-11.2022</t>
  </si>
  <si>
    <t>Gmina Łomża</t>
  </si>
  <si>
    <t>Miasto Suwałki</t>
  </si>
  <si>
    <t>Gmina Turośń Kościelna</t>
  </si>
  <si>
    <t>Przebudowa  drogi gminnej nr 103336B Szymany-Szymany Kolonie</t>
  </si>
  <si>
    <t>Gmina Rutki</t>
  </si>
  <si>
    <t>Budowa dróg gminnych nr 106595B i nr 106558B (ul. Kolejowa) na odcinku od drogi powiatowej nr 1527B w Łapach do drogi wojewódzkiej nr 681 w Łapach Łynkach-etap I</t>
  </si>
  <si>
    <t>Przebudowa ulicy Nowy Rynek i ulicy Armii Krajowej w Łapach wraz z kanalizacją deszczową z przykanalikami</t>
  </si>
  <si>
    <t>11.2020-06.2022</t>
  </si>
  <si>
    <t>Przebudowa dróg gminnych relacji Kurki-Kurejwa, Popowo-Kurejwa</t>
  </si>
  <si>
    <t>10.2020-10.2022</t>
  </si>
  <si>
    <t>Powiat hajnowski</t>
  </si>
  <si>
    <t>Gmina Miejska Zambrów</t>
  </si>
  <si>
    <t>Budowa drogi lokalnej pomiędzy ul. Pileckiego i Białostocką</t>
  </si>
  <si>
    <t>Budowa nowych dróg publicznych na odcinkach: od ul. 11 Listopada do ul. Brańskiej oraz od ul. C.K. Norwida do ul. bł. ks. A. Beszty-Borowskiego</t>
  </si>
  <si>
    <t>Budowa drogi gminnej nr 101089B ul. Jaworowej w Łomży</t>
  </si>
  <si>
    <t>Przebudowa ulicy Piaskowej w Łapach wraz z kanalizacją deszczową</t>
  </si>
  <si>
    <t>Budowa dróg gminnych nr 101116B, nr 101201B oraz drogi na odcinku od drogi gminnej nr 101116B do drogi powiatowej nr 2608B w Łomży</t>
  </si>
  <si>
    <t>Rozbudowa drogi nr 107371B ul. Wyszyńskiego na odcinku od ul. 11 Listopada do ul. Wojska Polskiego w Bielsku Podlaskim</t>
  </si>
  <si>
    <t>Gmina Suchowola</t>
  </si>
  <si>
    <t>Powiat Łomżyński</t>
  </si>
  <si>
    <t>Przebudowa i rozbudowa drogi powiatowej nr 1961B Wizna - Męczki - Kotowo-Plac - Jedwabne - (ul. Wojska Polskiego) oraz odc.dr.pow.nr 1928B - ul. Jana Pawła II i ul. Łomżyńskiej w Jedwabnem o dł.ok.11,630km</t>
  </si>
  <si>
    <t>10.2021-11.2022</t>
  </si>
  <si>
    <t>08.2021-11.2023</t>
  </si>
  <si>
    <t>03.2021-10.2023</t>
  </si>
  <si>
    <t>N</t>
  </si>
  <si>
    <t>2001</t>
  </si>
  <si>
    <t>Rozbudowa i przebudowa drogi powiatowej nr 1996B Brulin - Strzeszewo o dł.ok.4 525 m</t>
  </si>
  <si>
    <t>06.2021-11.2023</t>
  </si>
  <si>
    <t>Powiat Moniecki</t>
  </si>
  <si>
    <t>2002</t>
  </si>
  <si>
    <t>Przebudowa z rozbudową drogi powiatowej Nr 1385B na odcinku Gniła - Dobrzyniewo Duże - Etap I (Gm. Dobrzyniewo Duże)</t>
  </si>
  <si>
    <t>07.2021-10.2022</t>
  </si>
  <si>
    <t>Powiat Kolneński</t>
  </si>
  <si>
    <t>Przebudowa ciągu komunikacyjnego Ostrów południowy - Ostrów Nowy - Górany - Leszczany - Nietupa - Szaciły - Kruszyniany wraz z budową mostu na rz. Nietupa na terenie Gminy Krynki w Powiecie Sokólskim</t>
  </si>
  <si>
    <t>Powiat Siemiatycki</t>
  </si>
  <si>
    <t>Przebudowa drogi powiatowej nr 1754B ul. Słowiczyńska w Siemiatyczach</t>
  </si>
  <si>
    <t>04.2021-10.2022</t>
  </si>
  <si>
    <t>Przebudowa z rozbudową drogi powiatowej Nr 2391B - Al.. Niepodległości wraz z przebudową skrzyżowania z ul. Piłsudskiego w Supraślu</t>
  </si>
  <si>
    <t>Przebudowa drogi powiatowej nr 2094B Perlejewo - Leszczka Duża - granica powiatu</t>
  </si>
  <si>
    <t>Przebudowa drogi powiatowej Nr 1535B Białystok - Kruszewo na odcinku od skrzyżowania z drogą powiatową Nr 1538B od skrzyżowania z drogą powiatową Nr 1537B i drogą gminną Nr 106267B (Gm. Choroszcz)</t>
  </si>
  <si>
    <t>Przebudowa z rozbudową drogi powiatowej Nr 1385B w m. Pogorzałki na odcinku ok. 300m (gm. Dobrzyniewo Duże)</t>
  </si>
  <si>
    <t>Przebudowa drogi powiatowej Nr 1307B na odcinku granica Powiatu Białostockiego - Jezierzysk (Gm. Czarna Białostocka)</t>
  </si>
  <si>
    <t>Przebudowa drogi powiatowej Nr 1522B w miejscowości Pietkowo (Gm. Poświętne)</t>
  </si>
  <si>
    <t>Powiat Bielski</t>
  </si>
  <si>
    <t>2003</t>
  </si>
  <si>
    <t>Przebudowa z rozbudową drogi powiatowej Nr 1581B Wyszki - Filipy (Etap I)</t>
  </si>
  <si>
    <t>Przebudowa z rozbudową drogi powiatowej Nr 2081B Rosochate Kościelne - Dąbrowa Wielka</t>
  </si>
  <si>
    <t>Rozbudowa drogi powiatowej Nr 1522B od granicy gminy Poświętne do drogi powiatowej Nr 1521B w m. Łapy Pluśniaki - Etap I (Gm. Łapy)</t>
  </si>
  <si>
    <t>Przebudowa dróg powiatowych nr 1623B ul. Targowej oraz nr 2329B ul. Poddolnej w Hajnówce</t>
  </si>
  <si>
    <t>Przebudowa i rozbudowa drogi powiatowej nr 1934B Piątnica Włościańska - Kalinowo o długości ok. 2 350m</t>
  </si>
  <si>
    <t>02.2021-11.2023</t>
  </si>
  <si>
    <t>07.2021-06.2022</t>
  </si>
  <si>
    <t>Przebudowa drogi powiatowej nr 1539B na odcinku wsi Zawady (Gm. Turośń Kościelna)</t>
  </si>
  <si>
    <t>Przebudowa dróg powiatowych Nr 1973B Mężenin - Chlebiotki Nowe - do drogi 64 i Nr 1838B od drogi 64 - Strękowa Góra - Osowiec na terenie Powiatu Białostockiego Etap II (Gm. Zawady)</t>
  </si>
  <si>
    <t>Przebudowa drogi powiatowej Nr 1380B na odcinku 11 Listopada w Tykocinie (Gm. Tykocin)</t>
  </si>
  <si>
    <t>Przebudowa z rozbudową drogi powiatowej nr 1448B w miejscowości Wiejki (Gm. Gródek)</t>
  </si>
  <si>
    <t>Powiat Suwalski</t>
  </si>
  <si>
    <t>Gmina Czarna Białostocka</t>
  </si>
  <si>
    <t>Gmina Suwałki</t>
  </si>
  <si>
    <t>Przebudowa ciągu ulic: Łąkowej, Stefczyka, Działkowej, Kwiatowej i Kolejowej na os. M. Konopnickiej w Grajewie</t>
  </si>
  <si>
    <t>Gmina Miejska Wysokie Mazowieckie</t>
  </si>
  <si>
    <t>Budowa drogi od ul. Podlaskiej do ul. Ludowej - poprawa bezpieczeństwa i przepustowości ruchu w mieście Wysokie Mazowieckie</t>
  </si>
  <si>
    <t>05.2021-11.2023</t>
  </si>
  <si>
    <t>Rozbudowa dróg gminnych: ul. Żwirki i Wigury wraz z przebudową skrzyżowania z ul. Lotników Lewoniewskich, ul. Dywizjonu 303 z sięgaczem oraz ul. W. Reymonta w Sokółce</t>
  </si>
  <si>
    <t>06.2021-06.2022</t>
  </si>
  <si>
    <t>Powiat kolneński</t>
  </si>
  <si>
    <t>Gmina Wąsosz</t>
  </si>
  <si>
    <t>Rozbudowa ulic gminnych: Mostowa, Piotra z Goniądza, Witosa w mieście Goniądz</t>
  </si>
  <si>
    <t>Gmina Filipów</t>
  </si>
  <si>
    <t>Rozbudowa drogi gminnej Nr 101858B i 101865B Nowe Motule - Tabałówka - Jemieliste</t>
  </si>
  <si>
    <t>Rozbudowa i przebudowa dróg gminnych nr 104158B i 162714B oraz przebudowa drogi gminnej nr 162717B w msc. Klimaszewnica</t>
  </si>
  <si>
    <t>Przebudowa ul. Szkolnej w Turośni Dolnej</t>
  </si>
  <si>
    <t>Przebudowa drogi w miejscowości Bronaki-Pietrasze w km 0+000 do km 0+505 odcinek długości 505m</t>
  </si>
  <si>
    <t>Powiat sejneński</t>
  </si>
  <si>
    <t>Gmina Nowinka</t>
  </si>
  <si>
    <t>Powiat augustowski</t>
  </si>
  <si>
    <t>Gmina Janów</t>
  </si>
  <si>
    <t>11.2021-10.2022</t>
  </si>
  <si>
    <t xml:space="preserve">Przebudowa ul. Chmielnej, Sosnowej i Myśliwskiej w Niewodnicy Kościelnej </t>
  </si>
  <si>
    <t>Przebudowa drogi w miejscowości Chyliny w km 0+000 do km 0+397,96 odcinek długości 397,96</t>
  </si>
  <si>
    <t>Gmina Dobrzyniewo Duże</t>
  </si>
  <si>
    <t>Gmina Perlejewo</t>
  </si>
  <si>
    <t>Gmina Tykocin</t>
  </si>
  <si>
    <t>Przebudowa dróg gminnych nr 105489B i 105514B w Gminie Tykocin w miejscowości Jeżewo Nowe</t>
  </si>
  <si>
    <t>Gmina Rajgród</t>
  </si>
  <si>
    <t>Przebudowa drogi w miejscowości Makowskie w km 0+000 do km 0+264, odcinek długości 264m</t>
  </si>
  <si>
    <t>Przebudowa drogi gminnej nr 105753B ul. Wiejska we wsi Stara Łomża przy Szosie - I etap</t>
  </si>
  <si>
    <t>Gmina Grajewo</t>
  </si>
  <si>
    <t>Przebudowa drogi gminnej nr 103329B w m. Popowo</t>
  </si>
  <si>
    <t>Rozbudowa drogi gminnej Wierciochy - Szczodruchy - Wojnasy w km 0+000 - 1+605</t>
  </si>
  <si>
    <t>Przebudowa z rozbudową drogi powiatowej nr 1494B w m. Niewodnica Nargilewska (Gm. Juchnowiec Kościelny) wraz z budową jednostronnego chodnika w ciągu drogi powiatowej nr 1484B na terenie zabudowy m. Niewodnica Nargilewska</t>
  </si>
  <si>
    <t>12.2021-11.2023</t>
  </si>
  <si>
    <t>Przebudowa wraz z rozbudową drogi powiatowej Nr 1470B Folwarki Małe - Zabłudów (Gm. Zabłudów)</t>
  </si>
  <si>
    <t>Rozbudowa ciągu komunikacyjnego dróg powiatowych nr 1405B i 1420B o przebiegu od granicy Powiatu Monieckiego z Powiatem Sokólskim do granicy z Powiatem Białostockim na terenie Gminy Korycin</t>
  </si>
  <si>
    <t>Przebudowa dróg powiatowych nr 2650B ul. Miastkowska, 1904B ul. 11 Listopada, 2609B ul. Łomżyńska w m. Nowogród odc.o dł.ok 2035 m</t>
  </si>
  <si>
    <t>11.2021-12.2023</t>
  </si>
  <si>
    <t>Przebudowa drogi powiatowej nr 1938B Wygoda - Modzele Wypychy o dł.ok.990m</t>
  </si>
  <si>
    <t>05.2021-08.2022</t>
  </si>
  <si>
    <t>Przebudowa drogi powiatowej nr 1575B (II Etap) Bielsk Podlaski - Strabla. Odcinek Bielsk Podlaski - Stołowacz</t>
  </si>
  <si>
    <t>Przebudowa z rozbudową drogi powiatowej Nr 1419B Wólka - Katrynka wraz z rozbiórką i budową mostu na rzece Czarnej (Gm. Wasilków)</t>
  </si>
  <si>
    <t>Przebudowa z rozbudową drogi powiatowej Nr 1394B droga Nr 8 - Sielachowskie - Osowicze Etap II (Gm. Wasilków)</t>
  </si>
  <si>
    <t>Przebudowa drogi powiatowej nr 2042B Kobylin Borzymy - Czajki</t>
  </si>
  <si>
    <t>Przebudowa drogi powiatowej Nr 1536B - przejście przez miejscowość Kruszewo (Gm. Choroszcz)</t>
  </si>
  <si>
    <t>Przebudowa z rozbudową drogi powiatowej Nr 1380B Tykocin - Złotoria Etap II (Gm. Tykocin)</t>
  </si>
  <si>
    <t>Przebudowa drogi powiatowej Nr 2391B na odcinku ul. Nowej w m. Supraśl, od ul. Dolnej do ul. Białostockiej</t>
  </si>
  <si>
    <t>03.2021-08.2023</t>
  </si>
  <si>
    <t>Remont drogi powiatowej Nr 1997B na odcinku 2800 m na terenie wsi Zbrzeźnica i Bacze Mokre</t>
  </si>
  <si>
    <t>Rozbudowa drogi powiatowej Nr 1512B na odcinku od drogi powiatowej Nr 1483B do wsi Zajączki (Gm. Juchnowiec Kościelny)</t>
  </si>
  <si>
    <t>Gmina Zambrów</t>
  </si>
  <si>
    <t>Budowa drogi odchodzącej od ul. Ostrowskiej w Zambrowie</t>
  </si>
  <si>
    <t>03.2021-10.2022</t>
  </si>
  <si>
    <t>Rozbudowa drogi gminnej Nr 101856B na odcinku Piecki - Smolenka</t>
  </si>
  <si>
    <t>10.2021-05.2024</t>
  </si>
  <si>
    <t>Budowa drogi gminnej nr 123015B we wsi Porosły-Kolonia oraz drogi gminnej nr 123009B</t>
  </si>
  <si>
    <t>Gmina Miejska Augustów</t>
  </si>
  <si>
    <t>Gmina Piątnica</t>
  </si>
  <si>
    <t>Rozbudowa i budowa ulicy Studzienicznej w Augustowie</t>
  </si>
  <si>
    <t>Budowa ulicy Świerkowej w Czarnej Białostockiej - etap II</t>
  </si>
  <si>
    <t>Przebudowa drogi gminnej nr 104184B Nieciki - Szymany</t>
  </si>
  <si>
    <t>04.2021-11.2022</t>
  </si>
  <si>
    <t>04.2021-09.2022</t>
  </si>
  <si>
    <t>Rozbudowa drogi gminnej nr 106869B na odcinku Halickie - Białostoczek</t>
  </si>
  <si>
    <t>Gmina Suraż</t>
  </si>
  <si>
    <t>Rozbudowa ulicy Zagumiennej Nr 106623B i rozbudowa ulicy Szkolnej Nr 106632B wraz z budową kanalizacji deszczowej i przebudową niezbędnej infrastruktury technicznej w Surażu - II etap</t>
  </si>
  <si>
    <t>Gmina Miejska Hajnówka</t>
  </si>
  <si>
    <t>Gmina Nowogród</t>
  </si>
  <si>
    <t>Gmina Bielsk Podlaski</t>
  </si>
  <si>
    <t>Gmina Juchnowiec Kościelny</t>
  </si>
  <si>
    <t>Gmina Mońki</t>
  </si>
  <si>
    <t>Gmina Kleszczele</t>
  </si>
  <si>
    <t>Gmina Klukowo</t>
  </si>
  <si>
    <t>Zadanie nowe/
wieloletnie [N/W]</t>
  </si>
  <si>
    <t>Długość odcinka 
(w km)</t>
  </si>
  <si>
    <r>
      <t xml:space="preserve">Województwo: </t>
    </r>
    <r>
      <rPr>
        <sz val="10"/>
        <color indexed="10"/>
        <rFont val="Times New Roman"/>
        <family val="1"/>
      </rPr>
      <t>Podlaskie</t>
    </r>
  </si>
  <si>
    <t>05.2021-09.2022</t>
  </si>
  <si>
    <t>Rozbudowa i przebudowa ulicy powiatowej nr 2540B - Rajgrodzka - Jonkajtysa w Augustowie poprzez budowę ciagu pieszo-rowerowego na odcinku od skrzyżowania z ul. Raczkowską do końca terenu zabudowanego oraz przebudowę odcinka od skrzyżowania z ul. Wojska Polskiego do skrzyżowania z ul. Głowackiego</t>
  </si>
  <si>
    <t>08.2021-09.2022</t>
  </si>
  <si>
    <r>
      <t>x</t>
    </r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) Zadania z kwotą dofinansowania i wysokością wkładu własnego po przeprowadzeniu postępowań przetargowych (uzyskane oszczędności po przetargu)</t>
    </r>
  </si>
  <si>
    <r>
      <t>x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) Zadania z kwotą dofinansowania i wysokością wkładu własnego po przeprowadzeniu postępowań przetargowych (wzrost kosztów po przetargu)</t>
    </r>
  </si>
  <si>
    <t>01.2021-09.2023</t>
  </si>
  <si>
    <t>12.2021-12.2022</t>
  </si>
  <si>
    <t>Budowa ścieżki pieszo-rowerowej w ciągu drogi powiatowej Nr 2352B ul. Żwirki i Wigury w Łapach</t>
  </si>
  <si>
    <t>Przebudowa drogi gminnej 106858B w miejscowości Protasy gmina Zabłudów</t>
  </si>
  <si>
    <t>Budowa i przebudowa dróg na Osiedlu Południe w Wysokiem Mazowieckiem - poprawa bezpieczeństwa ruchu</t>
  </si>
  <si>
    <t>12.2020-08.2022</t>
  </si>
  <si>
    <t>06.2020-10.2022</t>
  </si>
  <si>
    <t>Przebudowa drogi nr 106548B i nr 106550B w miejscowości Płonka Kościelna, gm. Łapy</t>
  </si>
  <si>
    <t>11.2020-02.2023</t>
  </si>
  <si>
    <t>10.2020-03.2023</t>
  </si>
  <si>
    <t>11.2020-05.2022</t>
  </si>
  <si>
    <t>12.2020-10.2022</t>
  </si>
  <si>
    <t>10.2020-06.2022</t>
  </si>
  <si>
    <t>11.2020-01.2022</t>
  </si>
  <si>
    <t>Przebudowa drogi gminnej nr 105854B - ul. Łomżyńska</t>
  </si>
  <si>
    <t>Przebudowa drogi gminnej nr 128529B we wsi Kulesze</t>
  </si>
  <si>
    <t>Przebudowa drogi gminnej Nr 109036B Pieczyski - Twarogi Lackie</t>
  </si>
  <si>
    <t>* Kwota dofinansowania zmniejszona do limitu dostępnych środków Rządowego Funduszu Rozwoju Dróg; zwiększenie dofinansowania możliwe w przypadku wystąpienia oszczędności. W przypadku braku oszczędności w Funduszu, realizacja zadania będzie wymagała zabezpieczenia wkładu własnego wnioskodawcy w większej wysokości.</t>
  </si>
  <si>
    <t>Przebudowa ul.Plac Wolności wraz z infrastrukturą techniczną w Kolnie</t>
  </si>
  <si>
    <t>05.2021-10.2022</t>
  </si>
  <si>
    <t>06.2021-07.2022</t>
  </si>
  <si>
    <t>04.2020-09.2022</t>
  </si>
  <si>
    <t>07.2021-08.2023</t>
  </si>
  <si>
    <t>11.2020-11.2022</t>
  </si>
  <si>
    <t>07.2021-06.2023</t>
  </si>
  <si>
    <t>09.2021-12.2023</t>
  </si>
  <si>
    <t>09.2021-10.2022</t>
  </si>
  <si>
    <t>08.2021-03.2023</t>
  </si>
  <si>
    <t>11.2021-08.2022</t>
  </si>
  <si>
    <t>10.2021-07.2022</t>
  </si>
  <si>
    <t>Powiat Wysokomazowiecki</t>
  </si>
  <si>
    <t>Powiat Augustowski</t>
  </si>
  <si>
    <t>Przebudowa odcinka drogi powiatowej Nr 1116B Bargłów Kościelny - Stara Kamionka - do dr. Nr 16, od km 5+000 do skrzyżowania z drogą krajową Nr 16</t>
  </si>
  <si>
    <t>05.2022-09.2022</t>
  </si>
  <si>
    <t>2011</t>
  </si>
  <si>
    <t>Przebudowa drogi powiatowej nr 1281B Krynki - Górany na terenie gminy Krynki w Powiecie Sokólskim wraz z usuwaniem skutków klęski żywiołowej</t>
  </si>
  <si>
    <t>06.2022-12.2024</t>
  </si>
  <si>
    <t>Przebudowa ulicy powiatowej Nr 2540B - Rajgrodzka-Jonkajtysa na odcinku od skrzyżowania z ul. Wojska Polskiego do skrzyżowania z ul. Głowackiego</t>
  </si>
  <si>
    <t>05.2022-11.2022</t>
  </si>
  <si>
    <t>Przebudowa z rozbudową drogi powiatowej Nr 1418B w m. Rybniki wraz z rozbiórką i budową mostu na rzece Krzemianka (Gm. Wasilków)</t>
  </si>
  <si>
    <t>11.2022-08.2024</t>
  </si>
  <si>
    <t>Przebudowa z rozbudową drogi powiatowej Nr 1385B na odcinku Gniła - Dobrzyniewo Duże - Etap II (Gm. Dobrzyniewo Duże)</t>
  </si>
  <si>
    <t>10.2022-08.2024</t>
  </si>
  <si>
    <t>2007</t>
  </si>
  <si>
    <t>Przebudowa i rozbudowa drogi powiatowej nr 1950B na odc. Zagroby - Żebry na dł. odc. ok. 1850m</t>
  </si>
  <si>
    <t>06.2022-12.2023</t>
  </si>
  <si>
    <t>2008</t>
  </si>
  <si>
    <t>Rozbudowa drogi powiatowej Nr 1841B na odcinku Krynice - Szorce - Nowa Wieś o długości 6 400,00 m.</t>
  </si>
  <si>
    <t>07.2022-06.2023</t>
  </si>
  <si>
    <t>Przebudowa i rozbudowa drogi powiatowej nr 1937B Siemień Nadrzeczny - Pniewo odc. o dł. ok 3 400 m</t>
  </si>
  <si>
    <t>12.2022-11.2023</t>
  </si>
  <si>
    <t>2063011</t>
  </si>
  <si>
    <t>Rozbudowa i przebudowa ulicy Powstańców Wielkopolskich wraz z niezbędną infrastrukturą techniczną w Suwałkach</t>
  </si>
  <si>
    <t>06.2022-11.2023</t>
  </si>
  <si>
    <t>Powiat Hajnowski</t>
  </si>
  <si>
    <t>2005</t>
  </si>
  <si>
    <t>Remont drogi powiatowej Nr 1646B ul. Lipowej w miejscowości Siemianówka na odcinku od skrzyżowania z ul. Szkolną do granicy miejscowości</t>
  </si>
  <si>
    <t>05.2022-10.2022</t>
  </si>
  <si>
    <t>Budowa drogi powiatowej Nr 1469B na odcinku Rafałówka - Folwarki Małe (Gm. Zabłudów)</t>
  </si>
  <si>
    <t>11.2022-10.2023</t>
  </si>
  <si>
    <t>Przebudowa z rozbudową drogi powiatowej Nr 1419B Wólka - Katarynka wraz z rozbiórką i budową mostu na rzece Czarnej (Gm. Wasilków)</t>
  </si>
  <si>
    <t>10.2022-12.2023</t>
  </si>
  <si>
    <t>Przebudowa z rozbudową drogi powiatowej Nr 1504B na odcinku od drogi wojewódzkiej Nr 678 do skrzyżowania z drogami powiatowymi Nr 1498B i 1518B wraz ze skrzyżowaniem - Etap I (Gm. Turośń Kościelna)</t>
  </si>
  <si>
    <t>Przebudowa drogi powiatowej nr 1345B Zwierzyniec Wielki - Kuderewszczyzna na terenie Gminy Dąbrowa Białostocka w Powiecie Sokólskim</t>
  </si>
  <si>
    <t>03.2022-12.2024</t>
  </si>
  <si>
    <t>Przebudowa i rozbudowa ciągu komunikacyjnego dróg powiatowych nr 1314B i 1313B na odcinku DK8 - Szaciłówka - Ostra Góra na terenie Gminy Korycin w Powiecie Sokólskim</t>
  </si>
  <si>
    <t>Rozbudowa drogi powiatowej Nr 1368B na odcinku od m. Peńskie do granicy gminy o dł. 1 712,30 m.</t>
  </si>
  <si>
    <t>2013</t>
  </si>
  <si>
    <t>Przebudowa z rozbudową drogi powiatowej nr 2107B na odcinku Antonin - Winna Poświętna wraz z budową mostu w m. Winna Poświętna przez rzekę Kukawkę</t>
  </si>
  <si>
    <t>06.2022-09.2023</t>
  </si>
  <si>
    <t>Przebudowa drogi powiatowej Nr 1483B Hryniewicze - Juchnowiec Kościelny (Gm. Juchnowiec Kościelny)</t>
  </si>
  <si>
    <t>Powiat Grajewski</t>
  </si>
  <si>
    <t>2004</t>
  </si>
  <si>
    <t>Przebudowa z rozbudową DP nr 1794B na odc. Bełda - Stoczek - Kozłówka</t>
  </si>
  <si>
    <t>06.2022-08.2024</t>
  </si>
  <si>
    <t>Rozbudowa drogi powiatowej nr 2063B na odcinku Sokoły - Nowe Racibory</t>
  </si>
  <si>
    <t>Przebudowa drogi powiatowej nr 1268B Babiki - Szczęsnowicze - Knyszewicze na terenie Gminy Szudziałowo w Powiecie Sokólskim</t>
  </si>
  <si>
    <t>Przebudowa i rozbudowa drogi powiatowej nr 1941B Zawady - Giełczyn o dł. ok. 3050 m</t>
  </si>
  <si>
    <t>Przebudowa i rozbudowa drogi powiatowej nr 1968B - dr 1961B - Zanklewo o dł. ok. 4 100m</t>
  </si>
  <si>
    <t>Przebudowa DP nr 1809B na odcinkach Pieniążki - Białaszewo i Białaszewo - DW 688</t>
  </si>
  <si>
    <t>08.2022-07.2023</t>
  </si>
  <si>
    <t>Przebudowa i rozbudowa drogi powiatowej nr 1443B Nietupa - Krynki na terenie Gminy Krynki w Powiecie Sokólskim wraz z usuwaniem skutków klęski żywiołowej</t>
  </si>
  <si>
    <t>07.2022-12.2024</t>
  </si>
  <si>
    <t>Powiat Sejneński</t>
  </si>
  <si>
    <t>2009</t>
  </si>
  <si>
    <t>Przebudowa drogi powiatowej Nr 1159B od drogi 651 - Szołtany - Puńsk - Wojtokiemie</t>
  </si>
  <si>
    <t>05.2022-12.2022</t>
  </si>
  <si>
    <t>Remont drogi powiatowej nr 2070B Gródek - Lubowicz Wielki i nr 2090B Lubowicz Wielki - Kostry Podsędkowięta - Wyszonki Wypychy</t>
  </si>
  <si>
    <t>06.2022-09.2024</t>
  </si>
  <si>
    <t>Przebudowa z rozbudową drogi powiatowej Nr 1387B Kobuzie - droga 1385B (Gm. Dobrzyniewo Duże)</t>
  </si>
  <si>
    <t>10.2022-10.2024</t>
  </si>
  <si>
    <t>Przebudowa i rozbudowa drogi powiatowej nr 1230B na odcinku Kamienna Nowa - granica Powiatu Augustowskiego z Powiatem Sokólskim na terenie Gminy Dąbrowa Białostocka w Powiecie Sokólskim</t>
  </si>
  <si>
    <t>Rozbudowa i przebudowa drogi powiatowej nr 2323B ul. Górnej i ul. Wrzosowej w Hajnówce- I etap</t>
  </si>
  <si>
    <t>06.2022-10.2023</t>
  </si>
  <si>
    <t>2006</t>
  </si>
  <si>
    <t>Rozbudowa drogi powiatowej nr 1895B łącząca m. Rogienice Wypychy i Kołaki Strumienie od km 1+300 do km 3+394,09</t>
  </si>
  <si>
    <t>06.2022-11.2022</t>
  </si>
  <si>
    <t>2012</t>
  </si>
  <si>
    <t xml:space="preserve">Przebudowa drogi powiatowej nr 1153B Suwałki - Okuniowiec - Kaletnik - Wiatrołuża - Zaboryszki w km 7+470-10+585                                                                                                                         </t>
  </si>
  <si>
    <t>04.2022-12.2022</t>
  </si>
  <si>
    <t>Przebudowa drogi powiatowej nr 1106B Granica województwa - Garbas - Mieruniszki w km 2+270-5+570</t>
  </si>
  <si>
    <t>Przebudowa odcinka drogi powiatowej nr 1603B Szczyty Dzięciołowo - Szczyty Nowodwory w km 0+000 - 0+990</t>
  </si>
  <si>
    <t>09.2022-08.2023</t>
  </si>
  <si>
    <t>Powiat Zambrowski</t>
  </si>
  <si>
    <t>2014</t>
  </si>
  <si>
    <t>2010</t>
  </si>
  <si>
    <t>Remont nawierzchni bitumicznej na drodze powiatowej nr 1700B w m. Granne</t>
  </si>
  <si>
    <t>04.2022-08.2022</t>
  </si>
  <si>
    <t xml:space="preserve">Remont nawierzchni bitumicznej na drodze powiatowej nr 1710B Grodzisk - Sypnie </t>
  </si>
  <si>
    <t>Remont drogi powiatowej Nr 1697B na odcinku droga krajowa DK 66 - msc. Karp</t>
  </si>
  <si>
    <t>Przebudowa drogi powiatowej Nr 2111B w m. Księżyno (Gm. Juchnowiec Kościelny)</t>
  </si>
  <si>
    <t>Rozbudowa odcinka drogi powiatowej nr 1230B Od dr. Nr 1228B Jastrzębna Pierwsza - Nowa Kamienna - Stara Kamienna - Dąbrowa Białostocka</t>
  </si>
  <si>
    <t>Rozbudowa odcinka drogi powiatowej Nr 1235B Kurianka - Starożyńce - Bartniki - do drogi 1237B od km 2+820 do km 5+853,80</t>
  </si>
  <si>
    <t>Przebudowa z rozbudową drogi powiatowej Nr 1549B na odcinku ul. Kolejowej w Klepaczach (Gm. Choroszcz)</t>
  </si>
  <si>
    <t>Rozbudowa odcinka drogi powiatowej Nr 1187B Jabłońskie - Topiłówka - Mazurki</t>
  </si>
  <si>
    <t>05.2022-08.2023</t>
  </si>
  <si>
    <t>Przebudowa z rozbudową drogi powiatowej Nr 1488B na odcinku Zabłudów - Nowosady (Gm. Zabłudów)</t>
  </si>
  <si>
    <t>Przebudowa drogi powiatowej Nr 1484B w m. Wojszki (Gm. Juchnowiec Kościelny)</t>
  </si>
  <si>
    <t>Przebudowa z rozbudową drogi powiatowej Nr 1498B w m. Szerenosy (Gm. Juchnowiec Kościelny)</t>
  </si>
  <si>
    <t>Przebudowa drogi powiatowej Nr 1364B na odcinku od m. Mejły do m. Kulesze o długości 3 045,00 m</t>
  </si>
  <si>
    <t>Rozbudowa drogi powiatowej Nr 2361 B ul. Mickiewicza w Mońkach oraz drogi powiatowej Nr 1404 B na odcinku ul. Mickiewicza - m. Ciesze o łącznej dł. 1 625,00 m</t>
  </si>
  <si>
    <t>Budowa ścieżki pieszo-rowerowej w ciągu drogi powiatowej Nr 1428B na odcinku Wasilków - Dąbrówki (Gm. Wasilków)</t>
  </si>
  <si>
    <t>Przebudowa i rozbudowa drogi powiatowej nr 1910B Miastkowo-Czartoria o dł. odc. ok. 990 m</t>
  </si>
  <si>
    <t>Przebudowa z rozbudową ciągu dróg powiatowych o Nr 2368B ul. Szkolna i Nr 2366B ul. Małynicza w miejscowości Mońki na odcinku o łącznej długości 1 360,00 m</t>
  </si>
  <si>
    <t>Rozbudowa drogi powiatowej Nr 1409B na odcinku od m. Chobotki do dr. woj. Nr 671 o długości 1 546,00 m.</t>
  </si>
  <si>
    <t>Rozbudowa drogi powiatowej Nr 1416B Mońki - Goniądz na odcinku o dł. 2 500,00 m</t>
  </si>
  <si>
    <t>Przebudowa z rozbudową drogi powiatowej Nr 1424B Karczmisko - Czarna Wieś Kościelna (Gm. Czarna Białostocka)</t>
  </si>
  <si>
    <t>Remont drogi powiatowej Nr 2675B ulicy Fabrycznej w Zambrowie w lokalizacji km 0+000 - 0+165</t>
  </si>
  <si>
    <t>06.2022-10.2022</t>
  </si>
  <si>
    <t>Rozbudowa drogi powiatowej Nr 1404 B na odcinku od granicy gm. Knyszyn do m. Kalinówka Kościelna o długości 1 329,00 m</t>
  </si>
  <si>
    <t>Przebudowa i rozbudowa drogi powiatowej nr 1333B Wólka - Piątak - Kizielewszczyzna - Kizielany do drogi powiatowej nr 1331B na terenie Gmin Suchowola i Janów w Powiecie Sokólskim</t>
  </si>
  <si>
    <t>Przebudowa i rozbudowa drogi powiatowej nr 1331B Kizielany - Szczuki - Gabrylewszyzna na terenie Gminy Janów w Powiecie Sokólskim</t>
  </si>
  <si>
    <t>Przebudowa z rozbudową drogi powiatowej Nr 149B Hryniewicze - Olmonty (Gm. Juchnowiec Kościelny)</t>
  </si>
  <si>
    <t>11.2022-06.2024</t>
  </si>
  <si>
    <t>Przebudowa drogi powiatowej nr 1269B Suchynicze - Babiki na terenie Gminy Szudziałowo w Powiecie Sokólskim</t>
  </si>
  <si>
    <t>Przebudowa drogi powiatowej nr 1911B Miastkowo-Rybaki o dł. odc. ok. 2 000 m</t>
  </si>
  <si>
    <t>Remont drogi powiatowej Nr 1350B na odcinku przez m. Mikicin o dł. 1 456m</t>
  </si>
  <si>
    <t>Przebudowa i rozbudowa drogi powiatowej nr 1322B na odcinku Wiązkówka - Wesołowo - DW 670 na terenie Gminy Dąbrowa Białostocka w Powiecie Sokólskim</t>
  </si>
  <si>
    <t>Przebudowa i rozbudowa drogi powiatowej nr 1940B Puchały-Milewo o dł. ok 1200m</t>
  </si>
  <si>
    <t>Przebudowa i rozbudowa drogi powiatowej nr 1322B na odcinku DP 1321B - Wroczyńszczyna - Wiązkówka na terenie Gminy Dąbrowa Białostocka w Powiecie Sokólskim</t>
  </si>
  <si>
    <t>04.2022-12.2024</t>
  </si>
  <si>
    <t>Rozbudowa DP nr 1822B na odc. Żebry - Bukowo Duże - Wiązownica</t>
  </si>
  <si>
    <t>06.2022-11.2024</t>
  </si>
  <si>
    <t>Przebudowa i rozbudowa drogi powiatowej nr 1957B Rydzewo-Kuleszka o dł. odc. ok. 1920 m</t>
  </si>
  <si>
    <t>Rozbudowa DP nr 1806B na odc. Szczuczyn - Skaje</t>
  </si>
  <si>
    <t>08.2022-05.2024</t>
  </si>
  <si>
    <t>Przebudowa i rozbudowa drogi powiatowej nr 1926B Makowskie - Koniecki o dł. ok. 900 m wraz z obiektem mostowym</t>
  </si>
  <si>
    <t>Rozbudowa DP nr 1810B ul. Wiórowa w Grajewie na odc. rondo - gr. miasta</t>
  </si>
  <si>
    <t>Przebudowa drogi powiatowej nr 1962B na odcinku Kokoszki - Guty w lok. rob. 0+000 - 1+913,28</t>
  </si>
  <si>
    <t>06.2022-05.2023</t>
  </si>
  <si>
    <t>Rozbudowa drogi powiatowej nr 2060B na odcinku od skrzyżowania z drogą powiatową nr 2059B - Pszczółczyn</t>
  </si>
  <si>
    <t>Przebudowa drogi powiatowej nr 2652B Nowogród - ul. Poległych odc. o dł. ok. 830m</t>
  </si>
  <si>
    <t>Przebudowa z rozbudową drogi powiatowej Nr 1969B na odcinku Targonie Wity - Zawady Kolonia (Gm. Zawady)</t>
  </si>
  <si>
    <t>Przebudowa i rozbudowa drogi powiatowej nr 1948B Jarmuty-Łochtynowo o dł. ok. 1100m</t>
  </si>
  <si>
    <t>Przebudowa i rozbudowa drogi powiatowej nr 1944B od dr. woj. nr 677 - Jemielite Wypychy odc. o dł. ok. 980m.</t>
  </si>
  <si>
    <t>Przebudowa powiatowej Nr 1350B na odcinku od drogi powiatowej nr 1407B do m. Mikicin o dł. 3 010,00m</t>
  </si>
  <si>
    <t>Przebudowa drogi powiatowej nr 1230B na odcinku Kamienna Stara - Kamienna Nowa na terenie Gminy Dąbrowa Białostocka w Powiecie Sokólskim</t>
  </si>
  <si>
    <t>Przebudowa i rozbudowa drogi powiatowej nr 1957B w m. Miastkowo (ul. Świerkowa) o dł. odc. ok. 1500 m</t>
  </si>
  <si>
    <t>Przebudowa drogi powiatowej nr 1347B na odcinku Horodnianka - Podhorodnianka na terenie Gminy Suchowola w Powiecie Sokólskim</t>
  </si>
  <si>
    <t>Przebudowa drogi powiatowej Nr 1422B w m. Wólka Ratowiecka (Gm. Czarna Białostocka)</t>
  </si>
  <si>
    <t>Przebudowa i rozbudowa drogi powiatowej Nr 1741B od skrzyżowania z drogą powiatową 1740B do skrzyżowania z drogą gminną do miejscowości Bystre łącznie z przebudową mostu</t>
  </si>
  <si>
    <t>08.2022-07.2024</t>
  </si>
  <si>
    <t>Przebudowa drogi powiatowej nr 1290B Słójka - Nowinka na terenie gminy Szudziałowo w Powiecie Sokólskim</t>
  </si>
  <si>
    <t>Przebudowa drogi powiatowej nr 1343B Chmielówka - Zwierzyniec Wielki na terenie Gmin Suchowola i Dąbrowa Białostocka w Powiecie Sokólskim</t>
  </si>
  <si>
    <t>07.2022-12.2023</t>
  </si>
  <si>
    <t>Przebudowa drogi powiatowej nr 1332B w miejscowości Kopciówka na terenie Gminy Suchowola w Powiecie Sokólskim</t>
  </si>
  <si>
    <t>Remont drogi powiatowej nr 19285B Siestrzanki - Mocarze o dł. ok. 1600 m</t>
  </si>
  <si>
    <t>Remont drogi powiatowej Nr 2025 na odcinku 4610 m na terenie wsi Srebrna i Żabikowo</t>
  </si>
  <si>
    <t>Przebudowa z rozbudową drogi powiatowej Nr 1562B na odcinku droga 681 - Kamińskie Wiktory (Gm. Poświętne)</t>
  </si>
  <si>
    <t>Remont drogi powiatowej nr 1829B Romany - do dr 648 o dł. ok. 550m</t>
  </si>
  <si>
    <t>Przebudowa drogi powiatowej Nr 1357B na odcinku od m. Kamionka o długości 1 780,24</t>
  </si>
  <si>
    <t>Remont drogi powiatowej Nr 1938B na odcinku 1400 m na terenie wsi Krusze Łubnice i Zanie Leśnica</t>
  </si>
  <si>
    <t>Rozbudowa drogi powiatowej Nr 1401B w m. Łękobudy na odcinku o dł. 345 m.</t>
  </si>
  <si>
    <t>Przebudowa drogi powiatowej nr 1129B Wiżajny - Dejszeryszki - Rutka tartak w km 7+000 - 9+170</t>
  </si>
  <si>
    <t>Rozbudowa drogi powiatowej Nr 1402B w m. Kujbiedy na odcinku o długości 812,00 m</t>
  </si>
  <si>
    <t>Przebudowa drogi powiatowej Nr 1691B odcinek Truski - Olszewo</t>
  </si>
  <si>
    <t>Remont drogi powiatowej nr 1122B w km 3+430-4+860 oraz drogi powiatowej nr 1123B w km 0+000 - 2+050</t>
  </si>
  <si>
    <t>Remont drogi powiatowej Nr 1654B Bielsk Podlaski - Parcewo i mostu położonego w jej ciągu</t>
  </si>
  <si>
    <t>Przebudowa drogi powiatowej Nr 1202B Wysoki Most - Sarnetki - Frącki</t>
  </si>
  <si>
    <t>Przebudowa drogi powiatowej Nr 1698B Spieszyn (Etap II)</t>
  </si>
  <si>
    <t>Remont drogi powiatowej nr 1883B na odc. Kozioł - Łacha w km od 4+740 do 9+540</t>
  </si>
  <si>
    <t>Remont drogi powiatowej nr 1094B Olszanka - Błęda - Przełomka - Mierkinie - Okliny - Rogożajny w km 13+070+18+070</t>
  </si>
  <si>
    <t>Gmina Sidra</t>
  </si>
  <si>
    <t>Przebudowa układu komunikacyjnego dróg gminnych o nr 103612B i 103614B na odcinku Staworowo - Pohorany - Krzysztofowo w Gminie Sidra</t>
  </si>
  <si>
    <t>Gmina Czyżew</t>
  </si>
  <si>
    <t>Przebudowa dróg gminnych nr 108016B - ul. Okrężna, Niepodległości oraz ul. Wesoła w Czyżewie</t>
  </si>
  <si>
    <t>03.2022-08.2023</t>
  </si>
  <si>
    <t>Gmina Łapy</t>
  </si>
  <si>
    <t>Przebudowa ulicy Korczaka w Łapach - I etap</t>
  </si>
  <si>
    <t>01.2022-10.2023</t>
  </si>
  <si>
    <t>01.2022-12.2022</t>
  </si>
  <si>
    <t>Gmina Kuźnica</t>
  </si>
  <si>
    <t>Przebudowa drogi gminnej Nr 103678B - ul. Polna w m. Kuźnica</t>
  </si>
  <si>
    <t>Gmina Gródek</t>
  </si>
  <si>
    <t>Przebudowa ulic Pogodnej i Słonecznej w Gródku</t>
  </si>
  <si>
    <t>03.2022-11.2022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</si>
  <si>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</si>
  <si>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Przebudowa odcinka drogi ul. Sportowej do ul. 3 Maja wraz z przebudową ul. Tulipanowej w Choroszczy</t>
  </si>
  <si>
    <t>04.2022-10.2022</t>
  </si>
  <si>
    <t>Gmina Bargłów Kościelny</t>
  </si>
  <si>
    <t>Przebudowa drogi gminnej Nr 102861B Górskie - Brzozówka - Komorniki, etap II</t>
  </si>
  <si>
    <t>Przebudowa drogi gminnej nr 131163B od drogi krajowej nr 8 do wsi Kiersnówka</t>
  </si>
  <si>
    <t>04.2022-11.2022</t>
  </si>
  <si>
    <t>Przebudowa ulicy Spółdzielczej w Łapach</t>
  </si>
  <si>
    <t>03.2022-06.2024</t>
  </si>
  <si>
    <t>Gmina Miejska Grajewo</t>
  </si>
  <si>
    <t>Budowa ulic św. Jana Pawła II oraz Pilota Kazimierza Sztramko w Grajewie</t>
  </si>
  <si>
    <t>Przebudowa ulicy Wodociągowej w Łapach</t>
  </si>
  <si>
    <t>04.2022-11.2024</t>
  </si>
  <si>
    <t>Remont drogi gminnej nr 106869B na odcinku od drogi krajowej 19 do granic miejscowości Białostoczek w gminie Zabłudów</t>
  </si>
  <si>
    <t>Rozbudowa drogi gminnej łączącej się z drogą powiatową nr 1111B w miejscowości Filipów</t>
  </si>
  <si>
    <t>Gmina Śniadowo</t>
  </si>
  <si>
    <t>Przebudowa odcinka drogi gminnej nr 105909B w miejscowości Stare Ratowo od km 0+000,00 do km 0+211,50</t>
  </si>
  <si>
    <t>Przebudowa drogi gminnej nr 169503B w miejscowości Stare Ratowo w km 0+000,00 + 0+192,00</t>
  </si>
  <si>
    <t>Przebudowa ulicy Słonecznej w Baciutach</t>
  </si>
  <si>
    <t>03.2022-09.2022</t>
  </si>
  <si>
    <t>Gmina Nowe Piekuty</t>
  </si>
  <si>
    <t>Rozbudowa, przebudowa drogi gminnej Nr 107649B od drogi powiatowej nr 2065B do m. Jabłoń-Dobki</t>
  </si>
  <si>
    <t>01.2022-10.2022</t>
  </si>
  <si>
    <t>Gmina Jeleniewo</t>
  </si>
  <si>
    <t>Rozbudowa drogi gminnej nr 146010B droga Okrągłe - Zarzecze Jeleniewskie</t>
  </si>
  <si>
    <t>08.2022-06.2023</t>
  </si>
  <si>
    <t>Przebudowa drogi gminnej nr : 105842B we wsi Baliki</t>
  </si>
  <si>
    <t>01.2022-06.2023</t>
  </si>
  <si>
    <t>Budowa drogi gminnej nr 102038B Krzywe - Mała Huta, gm. Suwałki</t>
  </si>
  <si>
    <t>Budowa ulicy Rezydenckiej i ulicy Sadowej w Porosłach wraz z niezbędną infrastrukturą techniczną</t>
  </si>
  <si>
    <t>05.2022-07.2023</t>
  </si>
  <si>
    <t>Gmina Drohiczyn</t>
  </si>
  <si>
    <t>Przebudowa dróg gminnych 109523B, 109522B Lisowo - Putkowice Nagórne</t>
  </si>
  <si>
    <t>03.2022-04.2023</t>
  </si>
  <si>
    <t>Przebudowa drogi gminnej Nr 105451 B Kozińce-Borsukówka, gmina Dobrzyniewo Duże, powiat białostocki, woj. podlaskie w m. Borsukówka od km rob. 2+310 do km rob. 3+740</t>
  </si>
  <si>
    <t>04.2022-09.2023</t>
  </si>
  <si>
    <t>Budowa drogi gminnej nr 105758B ulica Cicha we wsi Stare Kupiski</t>
  </si>
  <si>
    <t>10.2022-11.2023</t>
  </si>
  <si>
    <t>Rozbudowa ul. Krzywólka w Suwałkach na odcinku od posesji 36 do mostu na rzece Czarna Hańcza</t>
  </si>
  <si>
    <t>Przebudowa dróg gminnych: drogi Nr 105521B oraz drogi Nr 133003B połączonych z drogą powiatową Nr 1380B</t>
  </si>
  <si>
    <t>01.2022-12.2023</t>
  </si>
  <si>
    <t>Przebudowa drogi wewnętrznej w miejscowości Dębniki</t>
  </si>
  <si>
    <t>Przebudowa ul. 1 Maja w Rajgrodzie</t>
  </si>
  <si>
    <t>Gmina Szudziałowo</t>
  </si>
  <si>
    <t>Przebudowa drogi gminnej nr 104927B Szudziałowo-Słoja, gmina Szudziałowo</t>
  </si>
  <si>
    <t>Przebudowa drogi gminnej Nr 107468B odcinek Knorydy - Knorydy Gaj</t>
  </si>
  <si>
    <t>03.2022-10.2022</t>
  </si>
  <si>
    <t>Przebudowa drogi gminnej nr 102882B (Biebrza-Łamane Grądy)</t>
  </si>
  <si>
    <t>Budowa ulicy Szumiących Traw i ulicy Jesiennych Liści we wsi Porosły gm. Choroszcz</t>
  </si>
  <si>
    <t>08.2022-09.2023</t>
  </si>
  <si>
    <t>Przebudowa drogi gminnej nr 108497B - ul. Aleksego Zina w mieście Hajnówce</t>
  </si>
  <si>
    <t>Przebudowa drogi gminnej nr 109674B od wsi Zabawka do drogi krajowej nr 64</t>
  </si>
  <si>
    <t>Przebudowa ulicy gminnej - Wyspiańskiego na osiedlu Reja w Mońkach</t>
  </si>
  <si>
    <t>02.2022-11.2022</t>
  </si>
  <si>
    <t>05.2022-10.2023</t>
  </si>
  <si>
    <t>Przebudowa drogi gminnej nr 142532B Białaszewo - Sulewo Prusy - do granicy z Gminą Wąsosz</t>
  </si>
  <si>
    <t>Przebudowa drogi gminnej w miejscowości Baciuty Kolonia</t>
  </si>
  <si>
    <t>07.2022-07.2023</t>
  </si>
  <si>
    <t>Gmina Stawiski</t>
  </si>
  <si>
    <t>Przebudowa drogi gminnej w Stawiskach</t>
  </si>
  <si>
    <t>Przebudowa ulicy Leśnej w Niewodnicy Koryckiej</t>
  </si>
  <si>
    <t>Budowa ulic w rejonie ul. Białostockiej w Zambrowie</t>
  </si>
  <si>
    <t>04.2022-12.2023</t>
  </si>
  <si>
    <t>Gmina Bakałarzewo</t>
  </si>
  <si>
    <t>Przebudowa dróg gminnych o nr 101923B, 101927B i 101928B w miejscowości Suchorzec i nowy Skazdub</t>
  </si>
  <si>
    <t>Przebudowa drogi wewnętrznej w msc. Płociczno-Osiedle, gm. Suwałki</t>
  </si>
  <si>
    <t>Budowa dróg przy ul. Księdza Prałata Józefa Obrembskiego w Wysokiem Mazowieckiem</t>
  </si>
  <si>
    <t>05.2022-11.2023</t>
  </si>
  <si>
    <t>Remont drogi gminnej Nr 106617B w miejscowości Końcowizna, gmina Suraż</t>
  </si>
  <si>
    <t>Przebudowa drogi w obrębie Czuprynowo i w obrębie Parczowce, gm. Kuźnica</t>
  </si>
  <si>
    <t>Przebudowa drogi gminnej nr 107984B Kaczyn Stary - Kaczyn Herbasy</t>
  </si>
  <si>
    <t>11.2022-09.2023</t>
  </si>
  <si>
    <t>Gmina Zawady</t>
  </si>
  <si>
    <t>Przebudowa drogi gminnej nr 105585B Nowe Krzewo - Stare Krzewo</t>
  </si>
  <si>
    <t>04.2022-09.2022</t>
  </si>
  <si>
    <t>Gmina Szepietowo</t>
  </si>
  <si>
    <t>Remont drogi na odcinku od ulicy Wędkarska do drogi Powiatowej Nr 2070B</t>
  </si>
  <si>
    <t>Rozbudowa ciągu drogowego dróg gminnych nr 106060B i 106038B Goski Duże - Zaręby - Kramki, gmina Zambrów</t>
  </si>
  <si>
    <t>07.2022-04.2023</t>
  </si>
  <si>
    <t>Gmina Przerośl</t>
  </si>
  <si>
    <t>Przebudowa dróg gminnych w miejscowości Przełomka, gm. Przerośl</t>
  </si>
  <si>
    <t>Gmina Nurzec-Stacja</t>
  </si>
  <si>
    <t>Przebudowa drogi gminnej Nr 109754B na odcinku od ul. Wodociągowej w Nurcu-Stacji do drogi powiatowej Nr 1716B Żerczyce - Nurczyk o długości 580,07m</t>
  </si>
  <si>
    <t>Gmina Wysokie Mazowieckie</t>
  </si>
  <si>
    <t>Przebudowa drogi gminnej nr 107931B na odcinku Gołasze-Puszcza - Gółasze-Górki</t>
  </si>
  <si>
    <t>Przebudowa drogi gminnej nr 104191 Kudlaczewo - Kędziorowo</t>
  </si>
  <si>
    <t>05.2022-04.2023</t>
  </si>
  <si>
    <t>Gmina Ciechanowiec</t>
  </si>
  <si>
    <t>Przebudowa drogi gminnej nr 108880B na odcinku Przybyszyn - Malec</t>
  </si>
  <si>
    <t>11.2022-12.2023</t>
  </si>
  <si>
    <t>Rozbudowa drogi gminnej Nr 108855B w miejscowości Bujenka</t>
  </si>
  <si>
    <t>Gmina Brańsk</t>
  </si>
  <si>
    <t>Przebudowa drogi gminnej Nr 108223B Brzeźnica-Popławy na odcinku od km 0+000,00 do km 2+180</t>
  </si>
  <si>
    <t>Przebudowa drogi gminnej nr 103897 B Nowowola - Plebanowce</t>
  </si>
  <si>
    <t>Gmina Rutka-Tartak</t>
  </si>
  <si>
    <t>Przebudowa drogi gminnej nr 101530B przez wieś Kleszczówek</t>
  </si>
  <si>
    <t>Przebudowa dróg w miejscowości Skroda Mała</t>
  </si>
  <si>
    <t>Gmina Sztabin</t>
  </si>
  <si>
    <t>Przebudowa drogi gminnej nr 167510B Krasnoborki - Kamień Wieś</t>
  </si>
  <si>
    <t>05.2022-03.2023</t>
  </si>
  <si>
    <t>Gmina Miejska Kolno</t>
  </si>
  <si>
    <t>Remont ulicy Ogrodowej i ulicy Łaziennej wraz z niezbędną infrastrukturą w Kolnie</t>
  </si>
  <si>
    <t>04.2022-05.2023</t>
  </si>
  <si>
    <t>Budowa ul. Zielonej wraz z niezbędną infrastrukturą techniczną w Kolnie</t>
  </si>
  <si>
    <t>Gmina Krasnopol</t>
  </si>
  <si>
    <t>Przebudowa drogi gminnej nr 102070B w miejscowości Krasne</t>
  </si>
  <si>
    <t>Gmina Mały Płock</t>
  </si>
  <si>
    <t>Przebudowa drogi w miejscowości Mały Płock ul. Potocznego</t>
  </si>
  <si>
    <t>Gmina Dziadkowice</t>
  </si>
  <si>
    <t>Przebudowa drogi gminnej Nr 109052B Osmola - Piotrowo-Krzywokoły</t>
  </si>
  <si>
    <t>Przebudowa drogi gminnej nr 102060B i 102059B w miejscowościach Jegliniec oraz Orlinek</t>
  </si>
  <si>
    <t>Gmina Kolno</t>
  </si>
  <si>
    <t>Przebudowa drogi wewnętrznej we wsi Truszki Zalesie</t>
  </si>
  <si>
    <t>Gmina Kołaki Kościelne</t>
  </si>
  <si>
    <t>Zaprojektowanie i przebudowa drogi gminnej w m. Zanie-Leśnica od km 0+00,00 do km 0+500,00</t>
  </si>
  <si>
    <t>Gmina Raczki</t>
  </si>
  <si>
    <t>Remont odcinka drogi gminnej nr 102381B Chodorki - Kurianki Pierwsze o dł. 800m i odcinka drogi gminnej nr 102381B Kurianki Pierwsze - Kurianki Drugie o dł. 1385m</t>
  </si>
  <si>
    <t>07.2022-10.2022</t>
  </si>
  <si>
    <t>Gmina Grodzisk</t>
  </si>
  <si>
    <t>Przebudowa drogi gminnej nr 108798B Sypnie - Kozłowo</t>
  </si>
  <si>
    <t>08.2022-11.2022</t>
  </si>
  <si>
    <t>Gmina Jedwabne</t>
  </si>
  <si>
    <t>Przebudowa drogi gminnej we wsi Konopki Chude</t>
  </si>
  <si>
    <t>10.2022-09.2023</t>
  </si>
  <si>
    <t>Gmina Turośl</t>
  </si>
  <si>
    <t>Rozbudowa drogi gminnej nr 170506B Nowa Ruda - Nowa Ruda w km 0+000 - 1+050</t>
  </si>
  <si>
    <t>Przebudowa z rozbudową dróg gminnych nr 104428B i nr 104429B w miejscowości Cieciory na odcinku o długości około 2002m</t>
  </si>
  <si>
    <t>Gmina Radziłów</t>
  </si>
  <si>
    <t>Budowa ulicy Sadowej w msc. Radziłów</t>
  </si>
  <si>
    <t xml:space="preserve">07.2022-06.2023             </t>
  </si>
  <si>
    <t>Gmina Nowy Dwór</t>
  </si>
  <si>
    <t>Przebudowa drogi gminnej nr 103587B (Synkowce-Kudrawka) na terenie gminy Nowy Dwór</t>
  </si>
  <si>
    <t>Gmina Lipsk</t>
  </si>
  <si>
    <t>Przebudowa odcinka ul. Rybackiej Nr 102735B w Lipsku</t>
  </si>
  <si>
    <t>Przebudowa drogi wewnętrznej Szczebra - Piaskowa Góra w km 0+195 - 0+955, długość odcinka 0,760 km</t>
  </si>
  <si>
    <t>Przebudowa ulicy Turystycznej w Augustowie</t>
  </si>
  <si>
    <t>Budowa drogi gminnej łączącą drogę powiatową nr 1552B - ul. Piaskowa z drogą gminną Nr 106281B - ul. Ogrodowa w Choroszczy wraz z budową mostu na rzece Horodnianka, pętlą autobusową i niezbędną infrastrukturą drogową</t>
  </si>
  <si>
    <t>Gmina Szumowo</t>
  </si>
  <si>
    <t>05.2022-09.2023</t>
  </si>
  <si>
    <t>Przebudowa ul. Grunwaldzkiej w Wysokiem Mazowieckim - poprawa bezpieczeństwa ruchu i komunikacji</t>
  </si>
  <si>
    <t>Budowa drogi nr 102001B w msc. Biała Woda gm. Suwałki - Etap II</t>
  </si>
  <si>
    <t>Przebudowa drogi gminnej Nr 108064B Kapłań - Łuniewo Wielkie</t>
  </si>
  <si>
    <t>07.2022-09.2023</t>
  </si>
  <si>
    <t>Budowa ul. Dmowskiego i ul. Supraślskiej w Wasilkowie</t>
  </si>
  <si>
    <t>Rozbudowa drogi gminnej nr 101021B ul. Dmowskiego w Łomży</t>
  </si>
  <si>
    <t>Budowa drogi o oznaczeniu KDL3 z rozbudową ul. Łąkowej w Wasilkowie</t>
  </si>
  <si>
    <t>Budowa ul. Żurawiej w Wasilkowie do ul. Wojtachowskiej</t>
  </si>
  <si>
    <t>Przebudowa ulic: A. Chętnika, W. Raginisa, E. Ciborowskiego oraz Żwirki i Wigury w Łomży</t>
  </si>
  <si>
    <t>11.2022-10.2024</t>
  </si>
  <si>
    <t>Budowa ulicy Wojska Polskiego, Armii Krajowej i Batalionów Chłopskich w Choroszczy</t>
  </si>
  <si>
    <t>04.2022-10.2023</t>
  </si>
  <si>
    <t>Rozbudowa drogi gminnej nr 108513B - ul. Armii Krajowej w mieście Hajnówka</t>
  </si>
  <si>
    <t>Przebudowa ul. Żółtkowskiej oraz ul. Pałacowej, wraz z budową odcinka ul. Rybackiej w Choroszczy</t>
  </si>
  <si>
    <t>Przebudowa ul. Spożywczej i Błękitnej w Wasilkowie</t>
  </si>
  <si>
    <t>Przebudowa ulicy Bema w Zambrowie</t>
  </si>
  <si>
    <t>Gmina Krypno</t>
  </si>
  <si>
    <t>Rozbudowa drogi gminnej Nr 104750B Ruda - Góra - etap II końcowy</t>
  </si>
  <si>
    <t>Przebudowa z budową drogi gminnej ul. Młynowa - Machnacz - granica gminy wraz z niezbędną infrastrukturą techniczną</t>
  </si>
  <si>
    <t>Przebudowa ul. Owocowej i DG101145B (ul. Talesa z Miletu) oraz budowa ul. 1KDZ (przedłużenia ul. Sybiraków do ul. Owocowej) w Łomży</t>
  </si>
  <si>
    <t>Budowa ulicy Diamentowej w Krupnikach</t>
  </si>
  <si>
    <t>Przebudowa drogi gminnej nr 101065B ul. por. Łagody w Łomży</t>
  </si>
  <si>
    <t>Budowa ul. Piaskowej do Podgórnej i ul. Krótkiej w Dąbrówkach</t>
  </si>
  <si>
    <t>Budowa odcinka drogi gminnej Nr 106287B - ul. Szkolnej w Choroszczy</t>
  </si>
  <si>
    <t>Przebudowa ulicy Różanej i ulicy Konwaliowej w Łapach</t>
  </si>
  <si>
    <t>Budowa dróg gminnych wraz z niezbędną infrastrukturą - ul. Dolnej, Równoległej, Poprzecznej i Krótkiej do ul. Wodociągowej w m. Klepacze</t>
  </si>
  <si>
    <t>09.2022-06.2024</t>
  </si>
  <si>
    <t>Przebudowa drogi gminnej ulicy Leśnej Nr 105917 B w miejscowości Śniadowo</t>
  </si>
  <si>
    <t>Budowa dróg, przebudowa drogi wewnętrznej oraz skrzyżowania z drogą krajową nr63 w rejonie ROD przy Długoborzu w Zambrowie</t>
  </si>
  <si>
    <t>Przebudowa ul. Nadrzecznej w Wasilkowie</t>
  </si>
  <si>
    <t>Budowa drogi w Rybnikach na działce nr 500/2</t>
  </si>
  <si>
    <t xml:space="preserve">Przebudowa drogi gminnej nr 104050B w miejscowości Lewonie odc. I, II, III </t>
  </si>
  <si>
    <t>Przebudowa ulicy Witosa i ulicy Letniej w Łapach</t>
  </si>
  <si>
    <t>Przebudowa drogi gminnej nr 101069B ul. Magazynowej w Łomży</t>
  </si>
  <si>
    <t>07.2022-12.2022</t>
  </si>
  <si>
    <t>Przebudowa ul. Nadbrzeżnej oraz budowa i rozbudowa ulic Ukośnej i Dąbrowskiego w Augustowie</t>
  </si>
  <si>
    <t>Przebudowa drogi do "Miejsca Świętego" w miejscowości Brzeźnica</t>
  </si>
  <si>
    <t>Budowa ul. Leśnej w Księżynie</t>
  </si>
  <si>
    <t>Rozbudowa i przebudowa drogi gminnej 101580B Jałowo przez wieś</t>
  </si>
  <si>
    <t>Przebudowa ulicy Jordyka, Bema i Olendry w miejscowości Filipów</t>
  </si>
  <si>
    <t>Przebudowa drogi gminnej nr 101892B ul. Wiszowatego - Etap III</t>
  </si>
  <si>
    <t>Budowa drogi gminnej nr 105813B we wsi Boguszyce od km 0+000,00 do km 0+468,00</t>
  </si>
  <si>
    <t>Rozbudowa drogi gminnej nr 106166B Zambrzyce-Króle - Zambrzyce-Plewki</t>
  </si>
  <si>
    <t>Rozbudowa i przebudowa ulic: Powstania Styczniowego i Rumiankowej w Choroszczy wraz z rozbudową i przebudową niezbędnej infrastruktury technicznej</t>
  </si>
  <si>
    <t>Przebudowa drogi gminnej Nr 107451B na odcinku : Ploski - droga krajowa nr 19</t>
  </si>
  <si>
    <t>Gmina Rudka</t>
  </si>
  <si>
    <t>Przebudowa dróg gminnych: ul. Sportowej i ul. Młynowej w m. Rudka</t>
  </si>
  <si>
    <t>Budowa drogi od ul. Ludowej do ul. Stadionowej w Wysokiem Mazowieckiem</t>
  </si>
  <si>
    <t>Rozbudowie, przebudowie drogi gminnej Nr 107621B Markowo-Wólka - Lendowo-Budy</t>
  </si>
  <si>
    <t>Budowa drogi od ul. Ludowej do Alei Niepodległości w Wysokiem Mazowieckiem</t>
  </si>
  <si>
    <t>Budowa ul. Klonowej wraz z odcinkiem ul. Świerkowej i ul. Gajowej w Krupnikach, gm. Choroszcz</t>
  </si>
  <si>
    <t>Przebudowa ulicy Łopianowej w Augustowie</t>
  </si>
  <si>
    <t>Budowa z rozbudową drogi gminnej nr 105682B na odcinku Bożenica - Stare Sierzputy od km 0+000,00 do km 1+4920,00</t>
  </si>
  <si>
    <t>Przebudowa drogi powiatowej Nr 1552B  obejmująca budowę pętli autobusowej wraz z rozbudową i przebudową infrastruktury technicznej przy ulicy Dominikańskiej w m. Choroszcz</t>
  </si>
  <si>
    <t>Przebudowa drogi gminnej nr 139506B ul. Szkolna w m. Dobrzyniewo Duże od km rob. 0+000 do km rob. 0+229,6</t>
  </si>
  <si>
    <t>Przebudowa ul. Magnoliowej i Orzechowej w Wasilkowie</t>
  </si>
  <si>
    <t>Przebudowa drogi gminnej na osiedlu Cukrowniczym w Łapach</t>
  </si>
  <si>
    <t>03.2022-11.2023</t>
  </si>
  <si>
    <t>Budowa ulicy Długiej w Klepaczach wraz z niezbędną infrastrukturą techniczną</t>
  </si>
  <si>
    <t>Gmina Miejska Brańsk</t>
  </si>
  <si>
    <t>Przebudowa ulicy Boćkowskiej w mieście Brańsk o długości 0,865 km</t>
  </si>
  <si>
    <t>Przebudowa drogi gminnej nr 104043B w miejscowości Ołdaki w km 0+000-0+847</t>
  </si>
  <si>
    <t>Gmina Czyże</t>
  </si>
  <si>
    <t>Przebudowa drogi gminnej nr. 107225B na odcinku: Śliwowo-Lady o długości 0,735 km</t>
  </si>
  <si>
    <t>07.2022-08.2022</t>
  </si>
  <si>
    <t>Rozbudowa drogi gminnej Nr 107456 na odcinku: droga powiatowa Nr 1590B - Plutycze</t>
  </si>
  <si>
    <t>Gmina Poświętne</t>
  </si>
  <si>
    <t>Przebudowa drogi gminnej nr 107566B na odcinku Gołębie - Kamińskie Wiktory</t>
  </si>
  <si>
    <t>02.2022-10.2023</t>
  </si>
  <si>
    <t>Przebudowa drogi nr 106571B w miejscowości Łapy - Dębowina, gm. Łapy</t>
  </si>
  <si>
    <t>Gmina Miejska Sejny</t>
  </si>
  <si>
    <t>Przebudowa drogi gminnej ul. Targowa wraz z drogą wewnętrzną 19KL</t>
  </si>
  <si>
    <t>04.2022-03.2023</t>
  </si>
  <si>
    <t>Przebudowa odcinka ul. Długiej i budowa ul. Żurawiej w Łapach</t>
  </si>
  <si>
    <t>Budowa ulicy Polnej w Uhowie, gm. Łapy - III etap</t>
  </si>
  <si>
    <t>Przebudowa drogi gminnej nr 129056B we wsi Chmielewo</t>
  </si>
  <si>
    <t>Przebudowa drogi gminnej wewnętrznej (odcinek 1) oraz rozbudowa drogi gminnej ul. Jodłowa (odcinek 2)</t>
  </si>
  <si>
    <t>Przebudowa drogi gminnej nr: 105837B we wsi Jankowo Skarbowo</t>
  </si>
  <si>
    <t>01.2022-11.2022</t>
  </si>
  <si>
    <t>Przebudowa drogi gminnej ulicy Wiśniowej i ulicy Wschodniej w Kleszczelach</t>
  </si>
  <si>
    <t>Przebudowa i rozbudowa układu komunikacyjnego ulic: Wiesiołowskiego, Rydzewskiego, Szlaszyńskiego, Strażackiej wraz z odwodnieniem w Przerośli</t>
  </si>
  <si>
    <t>Droga gminna nr 159000B ulica Leśna w Jeziorku</t>
  </si>
  <si>
    <t>Rozbudowa ulicy Wiśniowej oraz przebudowa ulic Mirabelki i Truskawkowej w Augustowie</t>
  </si>
  <si>
    <t>Przebudowa dróg gminnych w Nowogrodzie nr. 129000B, 129002B oraz 129017B</t>
  </si>
  <si>
    <t>01.2022-11.2023</t>
  </si>
  <si>
    <t>Przebudowa drogi gminnej nr 101950B w miejscowości Zajączkowo</t>
  </si>
  <si>
    <t>04.2022-07.2023</t>
  </si>
  <si>
    <t>Przebudowa drogi gminnej nr 104491B Zalesie - Korzeniste</t>
  </si>
  <si>
    <t>Przebudowa drogi gminnej nr 104501 B Mały Płock - Józefowo</t>
  </si>
  <si>
    <t>Przebudowa drogi gminnej Nr 101936B Wólka Folwark - Podwólczanka</t>
  </si>
  <si>
    <t>Przebudowa drogi gminnej w miejscowości Borowskie Skórki</t>
  </si>
  <si>
    <t>Gmina Orla</t>
  </si>
  <si>
    <t>Przebudowa drogi gminnej na odcinku Spiczki - droga krajowa Nr 66</t>
  </si>
  <si>
    <t>04.2022-08.2023</t>
  </si>
  <si>
    <t>Przebudowa dróg gminnych nr 102044B i 102045B w miejscowości Stabieńszczyzna</t>
  </si>
  <si>
    <t>06.2022-05.2022</t>
  </si>
  <si>
    <t>Przebudowa dróg wewnętrznych we wsi Niksowizna</t>
  </si>
  <si>
    <t>04.2022-07.2022</t>
  </si>
  <si>
    <t>Remont drogi gminnej nr 102403B Jaśki - Święte Miejsce wraz ze zjazdami - o długości 1000m</t>
  </si>
  <si>
    <t>Budowa ul. Jesionowej wraz z niezbędną infrastrukturą w Kolnie</t>
  </si>
  <si>
    <t>03.2022-06.2023</t>
  </si>
  <si>
    <t>Przebudowa ul. Chopina wraz z niezbędną infrastrukturą techniczną w Kolnie</t>
  </si>
  <si>
    <r>
      <t>Dofinansowanie przyznane w naborze</t>
    </r>
    <r>
      <rPr>
        <b/>
        <sz val="10"/>
        <rFont val="Times New Roman"/>
        <family val="1"/>
      </rPr>
      <t>:</t>
    </r>
    <r>
      <rPr>
        <sz val="1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na rok 2022</t>
    </r>
  </si>
  <si>
    <t>Lista zadań rekomendowanych do dofinansowania w ramach Rządowego Funduszu Rozwoju Dróg</t>
  </si>
  <si>
    <t>08.2021-05.2022</t>
  </si>
  <si>
    <t>* Kwota dofinansowania w roku 2022 zmniejszona do limitu dostępnych środków Rządowego Funduszu Rozwoju Dróg; zwiększenie dofinansowania możliwe w przypadku wystąpienia oszczędności. W przypadku braku oszczędności w Funduszu, realizacja zadania będzie wymagała zabezpieczenia wkładu własnego wnioskodawcy w większej wysokości.</t>
  </si>
  <si>
    <t>Przebudowa drogi powiatowej nr 1259B Zalesie - Achrymowce - Starowlany - Popławce w Powiecie Sokólskim - etap II</t>
  </si>
  <si>
    <t>Przebudowa i rozbudowa drogi powiatowej nr 1253B na odcinku Dąbrowa Białostocka - Stock - Różanystok wraz z wykonaniem obiektu inżynierskiego w m. Łozowo na terenie Gminy Dąbrowa Białostocka w Powiecie Sokólskim</t>
  </si>
  <si>
    <t>Przebudowa drogi powiatowej nr 1246B Chilmony - Dubaśno wraz z wykonaniem obiektu inżynierskiego na terenie Gminy Nowy Dwór w Powiecie Sokólskim</t>
  </si>
  <si>
    <t>11.2021-09.2022</t>
  </si>
  <si>
    <t>11.2021-02..2023</t>
  </si>
  <si>
    <t>10.2021-09.2022</t>
  </si>
  <si>
    <t>Przebudowa drogi powiatowej nr 1249B Nowy Dwór - Kudrawka - Siderka - Sidra wraz z wykonaniem obiektu inżynierskiego k/m Siderka na terenie Gmin Nowy Dwór i Sidra w Powiecie Sokólskim</t>
  </si>
  <si>
    <t>11.2021-12.2022</t>
  </si>
  <si>
    <t>11.2021-10.2023</t>
  </si>
  <si>
    <r>
      <t xml:space="preserve">Powiat Białostocki
</t>
    </r>
  </si>
  <si>
    <r>
      <t xml:space="preserve">Powiat Białostocki
</t>
    </r>
  </si>
  <si>
    <t xml:space="preserve">Gmina Filipów </t>
  </si>
  <si>
    <t>Przebudowa ul. Piasta, Spożywczej i Błękitnej w Wasilkowie</t>
  </si>
  <si>
    <t>03.2021-09.2022</t>
  </si>
  <si>
    <t>Budowa części ulicy Kwiatowej w m. Ignatki, ulicy Borsuczej w m. Księżyno i części drogi gminnej na dz. 440 w m. Księżyno</t>
  </si>
  <si>
    <t xml:space="preserve">Gmina Juchnowiec Kościelny
</t>
  </si>
  <si>
    <r>
      <t xml:space="preserve">Gmina Zabłudów </t>
    </r>
    <r>
      <rPr>
        <vertAlign val="superscript"/>
        <sz val="10"/>
        <color indexed="10"/>
        <rFont val="Arial"/>
        <family val="2"/>
      </rPr>
      <t>x1)</t>
    </r>
  </si>
  <si>
    <r>
      <t xml:space="preserve">Miasto Łomża </t>
    </r>
    <r>
      <rPr>
        <vertAlign val="superscript"/>
        <sz val="10"/>
        <color indexed="10"/>
        <rFont val="Arial"/>
        <family val="2"/>
      </rPr>
      <t>x1)</t>
    </r>
  </si>
  <si>
    <r>
      <t xml:space="preserve">Gmina Czyżew </t>
    </r>
    <r>
      <rPr>
        <vertAlign val="superscript"/>
        <sz val="10"/>
        <color indexed="10"/>
        <rFont val="Arial"/>
        <family val="2"/>
      </rPr>
      <t>x1)</t>
    </r>
  </si>
  <si>
    <r>
      <t xml:space="preserve">Gmina Miejska Wysokie Mazowieckie </t>
    </r>
    <r>
      <rPr>
        <vertAlign val="superscript"/>
        <sz val="10"/>
        <color indexed="10"/>
        <rFont val="Arial"/>
        <family val="2"/>
      </rPr>
      <t>x1)</t>
    </r>
  </si>
  <si>
    <r>
      <t xml:space="preserve">Gmina Grajewo </t>
    </r>
    <r>
      <rPr>
        <vertAlign val="superscript"/>
        <sz val="10"/>
        <color indexed="10"/>
        <rFont val="Arial"/>
        <family val="2"/>
      </rPr>
      <t>x1)</t>
    </r>
  </si>
  <si>
    <r>
      <t xml:space="preserve">Gmina Łapy </t>
    </r>
    <r>
      <rPr>
        <vertAlign val="superscript"/>
        <sz val="10"/>
        <color indexed="10"/>
        <rFont val="Arial"/>
        <family val="2"/>
      </rPr>
      <t>x1)</t>
    </r>
  </si>
  <si>
    <r>
      <t>Gmina Łapy</t>
    </r>
    <r>
      <rPr>
        <vertAlign val="superscript"/>
        <sz val="10"/>
        <color indexed="10"/>
        <rFont val="Arial"/>
        <family val="2"/>
      </rPr>
      <t xml:space="preserve"> x1)</t>
    </r>
  </si>
  <si>
    <r>
      <t xml:space="preserve">Gmina Miejska Zambrów </t>
    </r>
    <r>
      <rPr>
        <vertAlign val="superscript"/>
        <sz val="10"/>
        <color indexed="10"/>
        <rFont val="Arial"/>
        <family val="2"/>
      </rPr>
      <t>x1)</t>
    </r>
  </si>
  <si>
    <r>
      <t xml:space="preserve"> Gmina Miejska Bielsk Podlaski </t>
    </r>
    <r>
      <rPr>
        <vertAlign val="superscript"/>
        <sz val="10"/>
        <color indexed="10"/>
        <rFont val="Arial"/>
        <family val="2"/>
      </rPr>
      <t>x1)</t>
    </r>
  </si>
  <si>
    <r>
      <t>Miasto Łomża</t>
    </r>
    <r>
      <rPr>
        <b/>
        <sz val="10"/>
        <color indexed="10"/>
        <rFont val="Arial"/>
        <family val="2"/>
      </rPr>
      <t xml:space="preserve">  </t>
    </r>
    <r>
      <rPr>
        <vertAlign val="superscript"/>
        <sz val="10"/>
        <color indexed="10"/>
        <rFont val="Arial"/>
        <family val="2"/>
      </rPr>
      <t>x1)</t>
    </r>
  </si>
  <si>
    <r>
      <t xml:space="preserve">Gmina Miejska Bielsk Podlaski </t>
    </r>
    <r>
      <rPr>
        <vertAlign val="superscript"/>
        <sz val="10"/>
        <color indexed="10"/>
        <rFont val="Arial"/>
        <family val="2"/>
      </rPr>
      <t>x1)</t>
    </r>
  </si>
  <si>
    <r>
      <t xml:space="preserve">Gmina Miejska Grajewo </t>
    </r>
    <r>
      <rPr>
        <vertAlign val="superscript"/>
        <sz val="10"/>
        <color indexed="10"/>
        <rFont val="Arial"/>
        <family val="2"/>
      </rPr>
      <t>x1)</t>
    </r>
  </si>
  <si>
    <r>
      <t xml:space="preserve">Gmina Miejska Wysokie Mazowieckie </t>
    </r>
    <r>
      <rPr>
        <vertAlign val="superscript"/>
        <sz val="10"/>
        <color indexed="10"/>
        <rFont val="Arial"/>
        <family val="2"/>
      </rPr>
      <t>x1)</t>
    </r>
  </si>
  <si>
    <r>
      <t xml:space="preserve">Gmina Sokółka </t>
    </r>
    <r>
      <rPr>
        <vertAlign val="superscript"/>
        <sz val="10"/>
        <color indexed="10"/>
        <rFont val="Arial"/>
        <family val="2"/>
      </rPr>
      <t>x1)</t>
    </r>
  </si>
  <si>
    <r>
      <t xml:space="preserve">Gmina Goniądz </t>
    </r>
    <r>
      <rPr>
        <vertAlign val="superscript"/>
        <sz val="10"/>
        <color indexed="10"/>
        <rFont val="Arial"/>
        <family val="2"/>
      </rPr>
      <t>x1)</t>
    </r>
  </si>
  <si>
    <r>
      <t xml:space="preserve">Gmina Filipów </t>
    </r>
    <r>
      <rPr>
        <vertAlign val="superscript"/>
        <sz val="10"/>
        <color indexed="10"/>
        <rFont val="Arial"/>
        <family val="2"/>
      </rPr>
      <t>x1)</t>
    </r>
  </si>
  <si>
    <r>
      <t xml:space="preserve">Gmina Radziłów </t>
    </r>
    <r>
      <rPr>
        <vertAlign val="superscript"/>
        <sz val="10"/>
        <color indexed="10"/>
        <rFont val="Arial"/>
        <family val="2"/>
      </rPr>
      <t>x1)</t>
    </r>
  </si>
  <si>
    <r>
      <t xml:space="preserve">Gmina Turośń Kościelna </t>
    </r>
    <r>
      <rPr>
        <vertAlign val="superscript"/>
        <sz val="10"/>
        <color indexed="10"/>
        <rFont val="Arial"/>
        <family val="2"/>
      </rPr>
      <t>x1)</t>
    </r>
  </si>
  <si>
    <r>
      <t xml:space="preserve">Gmina Jedwabne </t>
    </r>
    <r>
      <rPr>
        <vertAlign val="superscript"/>
        <sz val="10"/>
        <color indexed="10"/>
        <rFont val="Arial"/>
        <family val="2"/>
      </rPr>
      <t>x2)</t>
    </r>
  </si>
  <si>
    <r>
      <t>Gmina Jedwabne</t>
    </r>
    <r>
      <rPr>
        <vertAlign val="superscript"/>
        <sz val="10"/>
        <color indexed="10"/>
        <rFont val="Arial"/>
        <family val="2"/>
      </rPr>
      <t xml:space="preserve"> x1)</t>
    </r>
  </si>
  <si>
    <r>
      <t xml:space="preserve">Gmina Tykocin </t>
    </r>
    <r>
      <rPr>
        <vertAlign val="superscript"/>
        <sz val="10"/>
        <color indexed="10"/>
        <rFont val="Arial"/>
        <family val="2"/>
      </rPr>
      <t>x1)</t>
    </r>
  </si>
  <si>
    <r>
      <t xml:space="preserve">Gmina Miejska Kolno </t>
    </r>
    <r>
      <rPr>
        <vertAlign val="superscript"/>
        <sz val="10"/>
        <color indexed="10"/>
        <rFont val="Arial"/>
        <family val="2"/>
      </rPr>
      <t>x1)</t>
    </r>
  </si>
  <si>
    <r>
      <t xml:space="preserve">Gmina Jedwabne </t>
    </r>
    <r>
      <rPr>
        <vertAlign val="superscript"/>
        <sz val="10"/>
        <color indexed="10"/>
        <rFont val="Arial"/>
        <family val="2"/>
      </rPr>
      <t>x1)</t>
    </r>
  </si>
  <si>
    <r>
      <t xml:space="preserve">Gmina Łomża </t>
    </r>
    <r>
      <rPr>
        <vertAlign val="superscript"/>
        <sz val="10"/>
        <color indexed="10"/>
        <rFont val="Arial"/>
        <family val="2"/>
      </rPr>
      <t>x1)</t>
    </r>
  </si>
  <si>
    <r>
      <t xml:space="preserve">Gmina Grajewo </t>
    </r>
    <r>
      <rPr>
        <vertAlign val="superscript"/>
        <sz val="10"/>
        <color indexed="10"/>
        <rFont val="Arial"/>
        <family val="2"/>
      </rPr>
      <t>x1)</t>
    </r>
  </si>
  <si>
    <r>
      <t xml:space="preserve">Gmina Raczki </t>
    </r>
    <r>
      <rPr>
        <vertAlign val="superscript"/>
        <sz val="10"/>
        <color indexed="10"/>
        <rFont val="Arial"/>
        <family val="2"/>
      </rPr>
      <t>x1)</t>
    </r>
  </si>
  <si>
    <r>
      <t>35</t>
    </r>
    <r>
      <rPr>
        <b/>
        <sz val="10"/>
        <color indexed="17"/>
        <rFont val="Arial"/>
        <family val="2"/>
      </rPr>
      <t>*</t>
    </r>
  </si>
  <si>
    <r>
      <t>36</t>
    </r>
    <r>
      <rPr>
        <b/>
        <sz val="10"/>
        <color indexed="17"/>
        <rFont val="Arial"/>
        <family val="2"/>
      </rPr>
      <t>*</t>
    </r>
  </si>
  <si>
    <r>
      <t xml:space="preserve">Powiat Wysokomazowiecki </t>
    </r>
    <r>
      <rPr>
        <vertAlign val="superscript"/>
        <sz val="10"/>
        <color indexed="10"/>
        <rFont val="Arial"/>
        <family val="2"/>
      </rPr>
      <t>x1)</t>
    </r>
  </si>
  <si>
    <r>
      <t xml:space="preserve">Powiat Bielski </t>
    </r>
    <r>
      <rPr>
        <vertAlign val="superscript"/>
        <sz val="10"/>
        <color indexed="10"/>
        <rFont val="Arial"/>
        <family val="2"/>
      </rPr>
      <t>x1)</t>
    </r>
  </si>
  <si>
    <r>
      <t xml:space="preserve">Powiat Łomżyński </t>
    </r>
    <r>
      <rPr>
        <vertAlign val="superscript"/>
        <sz val="10"/>
        <color indexed="10"/>
        <rFont val="Arial"/>
        <family val="2"/>
      </rPr>
      <t>x2)</t>
    </r>
  </si>
  <si>
    <r>
      <t xml:space="preserve">Powiat Białostocki </t>
    </r>
    <r>
      <rPr>
        <vertAlign val="superscript"/>
        <sz val="10"/>
        <color indexed="10"/>
        <rFont val="Arial"/>
        <family val="2"/>
      </rPr>
      <t>x1)</t>
    </r>
  </si>
  <si>
    <r>
      <t xml:space="preserve">Powiat Siemiatycki </t>
    </r>
    <r>
      <rPr>
        <vertAlign val="superscript"/>
        <sz val="10"/>
        <color indexed="10"/>
        <rFont val="Arial"/>
        <family val="2"/>
      </rPr>
      <t>x1)</t>
    </r>
  </si>
  <si>
    <r>
      <t>Powiat Białostocki</t>
    </r>
    <r>
      <rPr>
        <vertAlign val="superscript"/>
        <sz val="10"/>
        <color indexed="10"/>
        <rFont val="Arial"/>
        <family val="2"/>
      </rPr>
      <t xml:space="preserve"> x1)</t>
    </r>
  </si>
  <si>
    <r>
      <t xml:space="preserve">Powiat Bielski </t>
    </r>
    <r>
      <rPr>
        <vertAlign val="superscript"/>
        <sz val="10"/>
        <color indexed="10"/>
        <rFont val="Arial"/>
        <family val="2"/>
      </rPr>
      <t>x1)</t>
    </r>
  </si>
  <si>
    <r>
      <t xml:space="preserve">Powiat Wysokomazowiecki </t>
    </r>
    <r>
      <rPr>
        <vertAlign val="superscript"/>
        <sz val="10"/>
        <color indexed="10"/>
        <rFont val="Arial"/>
        <family val="2"/>
      </rPr>
      <t>x1)</t>
    </r>
  </si>
  <si>
    <r>
      <t xml:space="preserve">Powiat Hajnowski </t>
    </r>
    <r>
      <rPr>
        <vertAlign val="superscript"/>
        <sz val="10"/>
        <color indexed="10"/>
        <rFont val="Arial"/>
        <family val="2"/>
      </rPr>
      <t>x1)</t>
    </r>
  </si>
  <si>
    <r>
      <t xml:space="preserve">Powiat Białostocki </t>
    </r>
    <r>
      <rPr>
        <vertAlign val="superscript"/>
        <sz val="10"/>
        <color indexed="10"/>
        <rFont val="Arial"/>
        <family val="2"/>
      </rPr>
      <t>x2)</t>
    </r>
  </si>
  <si>
    <r>
      <t xml:space="preserve">Powiat Białostocki </t>
    </r>
    <r>
      <rPr>
        <vertAlign val="superscript"/>
        <sz val="10"/>
        <color indexed="10"/>
        <rFont val="Arial"/>
        <family val="2"/>
      </rPr>
      <t>x2)</t>
    </r>
  </si>
  <si>
    <r>
      <t>41</t>
    </r>
    <r>
      <rPr>
        <b/>
        <sz val="10"/>
        <color indexed="17"/>
        <rFont val="Arial"/>
        <family val="2"/>
      </rPr>
      <t>*</t>
    </r>
  </si>
  <si>
    <r>
      <t>42</t>
    </r>
    <r>
      <rPr>
        <b/>
        <sz val="10"/>
        <color indexed="17"/>
        <rFont val="Arial"/>
        <family val="2"/>
      </rPr>
      <t>*</t>
    </r>
  </si>
  <si>
    <t xml:space="preserve">Przebudowa drogi gminnej nr 102316B przez wieś Białorzeczka </t>
  </si>
  <si>
    <t>Gmina Giby</t>
  </si>
  <si>
    <t>2009022</t>
  </si>
  <si>
    <t xml:space="preserve">Przebudowa drogi gminnej nr 102314B Białorzeczka - Wierśnie - Giby </t>
  </si>
  <si>
    <t>Budowa węzła komunikacyjnego i dróg na terenach inwestycyjnych w Szumowie</t>
  </si>
  <si>
    <t>83*</t>
  </si>
  <si>
    <r>
      <t>121</t>
    </r>
    <r>
      <rPr>
        <b/>
        <sz val="16"/>
        <color indexed="51"/>
        <rFont val="Arial"/>
        <family val="2"/>
      </rPr>
      <t>*</t>
    </r>
  </si>
  <si>
    <r>
      <rPr>
        <sz val="10"/>
        <rFont val="Arial"/>
        <family val="2"/>
      </rPr>
      <t>64</t>
    </r>
    <r>
      <rPr>
        <b/>
        <sz val="10"/>
        <color indexed="51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</si>
</sst>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  <numFmt numFmtId="165" formatCode="#,##0.00\ &quot;zł&quot;"/>
    <numFmt numFmtId="166" formatCode="#,##0.000"/>
    <numFmt numFmtId="167" formatCode="0.000"/>
    <numFmt numFmtId="168" formatCode="_-* #,##0.000\ _z_ł_-;\-* #,##0.000\ _z_ł_-;_-* &quot;-&quot;??\ _z_ł_-;_-@_-"/>
    <numFmt numFmtId="169" formatCode="#,##0.00_ ;\-#,##0.00\ "/>
    <numFmt numFmtId="170" formatCode="#,##0.000\ &quot;zł&quot;"/>
    <numFmt numFmtId="171" formatCode="[$-415]General"/>
    <numFmt numFmtId="172" formatCode="#,##0.0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8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color indexed="10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6"/>
      <color indexed="51"/>
      <name val="Arial"/>
      <family val="2"/>
    </font>
    <font>
      <vertAlign val="superscript"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5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color indexed="8"/>
      <name val="Arial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8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b/>
      <sz val="10"/>
      <color indexed="10"/>
      <name val="Times New Roman"/>
      <family val="1"/>
    </font>
    <font>
      <sz val="9"/>
      <color indexed="8"/>
      <name val="Calibri"/>
      <family val="2"/>
    </font>
    <font>
      <sz val="10"/>
      <color indexed="57"/>
      <name val="Arial"/>
      <family val="2"/>
    </font>
    <font>
      <b/>
      <sz val="10"/>
      <color indexed="8"/>
      <name val="Times New Roman"/>
      <family val="1"/>
    </font>
    <font>
      <sz val="10"/>
      <color indexed="53"/>
      <name val="Arial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sz val="10"/>
      <name val="Calibri"/>
      <family val="2"/>
    </font>
    <font>
      <sz val="10"/>
      <color indexed="17"/>
      <name val="Arial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rgb="FF000000"/>
      <name val="Arial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Times New Roman"/>
      <family val="1"/>
    </font>
    <font>
      <sz val="9"/>
      <color theme="1"/>
      <name val="Calibri"/>
      <family val="2"/>
    </font>
    <font>
      <sz val="10"/>
      <color theme="9"/>
      <name val="Arial"/>
      <family val="2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5"/>
      <name val="Arial"/>
      <family val="2"/>
    </font>
    <font>
      <sz val="14"/>
      <color theme="1"/>
      <name val="Calibri"/>
      <family val="2"/>
    </font>
    <font>
      <sz val="10"/>
      <color rgb="FF00B050"/>
      <name val="Arial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 style="medium"/>
      <right style="medium"/>
      <top style="thick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medium"/>
      <right style="medium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ck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8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60" fillId="0" borderId="0" applyBorder="0" applyProtection="0">
      <alignment/>
    </xf>
    <xf numFmtId="0" fontId="61" fillId="0" borderId="3" applyNumberFormat="0" applyFill="0" applyAlignment="0" applyProtection="0"/>
    <xf numFmtId="0" fontId="62" fillId="29" borderId="4" applyNumberFormat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33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73" fillId="0" borderId="10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0" fillId="0" borderId="0" xfId="0" applyNumberFormat="1" applyFill="1" applyBorder="1" applyAlignment="1">
      <alignment vertical="center"/>
    </xf>
    <xf numFmtId="4" fontId="6" fillId="0" borderId="0" xfId="0" applyNumberFormat="1" applyFont="1" applyFill="1" applyBorder="1" applyAlignment="1">
      <alignment/>
    </xf>
    <xf numFmtId="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" fontId="7" fillId="0" borderId="0" xfId="0" applyNumberFormat="1" applyFont="1" applyFill="1" applyBorder="1" applyAlignment="1">
      <alignment/>
    </xf>
    <xf numFmtId="4" fontId="7" fillId="0" borderId="0" xfId="0" applyNumberFormat="1" applyFont="1" applyBorder="1" applyAlignment="1">
      <alignment/>
    </xf>
    <xf numFmtId="0" fontId="68" fillId="0" borderId="0" xfId="0" applyFont="1" applyAlignment="1">
      <alignment/>
    </xf>
    <xf numFmtId="4" fontId="7" fillId="0" borderId="0" xfId="0" applyNumberFormat="1" applyFont="1" applyFill="1" applyBorder="1" applyAlignment="1">
      <alignment vertical="top"/>
    </xf>
    <xf numFmtId="4" fontId="7" fillId="0" borderId="0" xfId="0" applyNumberFormat="1" applyFont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wrapText="1" shrinkToFit="1"/>
    </xf>
    <xf numFmtId="0" fontId="10" fillId="0" borderId="0" xfId="57" applyFont="1" applyFill="1" applyAlignment="1">
      <alignment vertical="center"/>
      <protection/>
    </xf>
    <xf numFmtId="0" fontId="74" fillId="0" borderId="0" xfId="57" applyFont="1" applyFill="1" applyAlignment="1">
      <alignment vertical="center"/>
      <protection/>
    </xf>
    <xf numFmtId="0" fontId="3" fillId="0" borderId="0" xfId="0" applyFont="1" applyAlignment="1">
      <alignment/>
    </xf>
    <xf numFmtId="4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 shrinkToFit="1"/>
    </xf>
    <xf numFmtId="4" fontId="6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/>
    </xf>
    <xf numFmtId="9" fontId="0" fillId="0" borderId="0" xfId="60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42" fillId="0" borderId="0" xfId="0" applyFont="1" applyFill="1" applyAlignment="1">
      <alignment vertical="center"/>
    </xf>
    <xf numFmtId="4" fontId="42" fillId="0" borderId="0" xfId="0" applyNumberFormat="1" applyFont="1" applyFill="1" applyAlignment="1">
      <alignment vertical="center"/>
    </xf>
    <xf numFmtId="4" fontId="75" fillId="0" borderId="11" xfId="0" applyNumberFormat="1" applyFont="1" applyFill="1" applyBorder="1" applyAlignment="1">
      <alignment horizontal="right" vertical="center" wrapText="1"/>
    </xf>
    <xf numFmtId="4" fontId="76" fillId="0" borderId="11" xfId="0" applyNumberFormat="1" applyFont="1" applyFill="1" applyBorder="1" applyAlignment="1">
      <alignment horizontal="right" vertical="center" wrapText="1"/>
    </xf>
    <xf numFmtId="0" fontId="9" fillId="33" borderId="12" xfId="0" applyFont="1" applyFill="1" applyBorder="1" applyAlignment="1">
      <alignment horizontal="left" vertical="center" indent="2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0" fontId="77" fillId="0" borderId="17" xfId="0" applyFont="1" applyFill="1" applyBorder="1" applyAlignment="1">
      <alignment horizontal="left" vertical="center" wrapText="1" indent="2"/>
    </xf>
    <xf numFmtId="0" fontId="9" fillId="0" borderId="17" xfId="0" applyFont="1" applyFill="1" applyBorder="1" applyAlignment="1">
      <alignment horizontal="left" vertical="center" indent="2"/>
    </xf>
    <xf numFmtId="0" fontId="77" fillId="0" borderId="18" xfId="0" applyFont="1" applyFill="1" applyBorder="1" applyAlignment="1">
      <alignment horizontal="left" vertical="center" indent="2"/>
    </xf>
    <xf numFmtId="0" fontId="77" fillId="2" borderId="17" xfId="0" applyFont="1" applyFill="1" applyBorder="1" applyAlignment="1">
      <alignment horizontal="left" vertical="center" wrapText="1" indent="2"/>
    </xf>
    <xf numFmtId="0" fontId="9" fillId="2" borderId="17" xfId="0" applyFont="1" applyFill="1" applyBorder="1" applyAlignment="1">
      <alignment horizontal="left" vertical="center" indent="2"/>
    </xf>
    <xf numFmtId="0" fontId="77" fillId="2" borderId="18" xfId="0" applyFont="1" applyFill="1" applyBorder="1" applyAlignment="1">
      <alignment horizontal="left" vertical="center" indent="2"/>
    </xf>
    <xf numFmtId="0" fontId="9" fillId="33" borderId="19" xfId="0" applyFont="1" applyFill="1" applyBorder="1" applyAlignment="1">
      <alignment vertical="center"/>
    </xf>
    <xf numFmtId="0" fontId="77" fillId="33" borderId="20" xfId="0" applyFont="1" applyFill="1" applyBorder="1" applyAlignment="1">
      <alignment horizontal="left" vertical="center" indent="2"/>
    </xf>
    <xf numFmtId="0" fontId="9" fillId="14" borderId="16" xfId="0" applyFont="1" applyFill="1" applyBorder="1" applyAlignment="1">
      <alignment vertical="center"/>
    </xf>
    <xf numFmtId="0" fontId="9" fillId="14" borderId="17" xfId="0" applyFont="1" applyFill="1" applyBorder="1" applyAlignment="1">
      <alignment horizontal="left" vertical="center" indent="2"/>
    </xf>
    <xf numFmtId="0" fontId="77" fillId="14" borderId="18" xfId="0" applyFont="1" applyFill="1" applyBorder="1" applyAlignment="1">
      <alignment horizontal="left" vertical="center" indent="2"/>
    </xf>
    <xf numFmtId="0" fontId="78" fillId="34" borderId="0" xfId="0" applyFont="1" applyFill="1" applyAlignment="1">
      <alignment/>
    </xf>
    <xf numFmtId="0" fontId="78" fillId="34" borderId="0" xfId="0" applyFont="1" applyFill="1" applyAlignment="1">
      <alignment vertical="center"/>
    </xf>
    <xf numFmtId="0" fontId="78" fillId="0" borderId="0" xfId="0" applyFont="1" applyAlignment="1">
      <alignment vertical="center"/>
    </xf>
    <xf numFmtId="0" fontId="68" fillId="0" borderId="0" xfId="0" applyFont="1" applyFill="1" applyAlignment="1">
      <alignment/>
    </xf>
    <xf numFmtId="0" fontId="0" fillId="0" borderId="0" xfId="0" applyBorder="1" applyAlignment="1">
      <alignment horizontal="center" vertical="center"/>
    </xf>
    <xf numFmtId="9" fontId="0" fillId="0" borderId="0" xfId="60" applyFon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79" fillId="34" borderId="0" xfId="0" applyFont="1" applyFill="1" applyAlignment="1">
      <alignment/>
    </xf>
    <xf numFmtId="0" fontId="80" fillId="34" borderId="0" xfId="0" applyFont="1" applyFill="1" applyAlignment="1">
      <alignment vertical="center"/>
    </xf>
    <xf numFmtId="0" fontId="9" fillId="0" borderId="21" xfId="0" applyNumberFormat="1" applyFont="1" applyFill="1" applyBorder="1" applyAlignment="1">
      <alignment horizontal="right" vertical="center"/>
    </xf>
    <xf numFmtId="165" fontId="9" fillId="0" borderId="22" xfId="0" applyNumberFormat="1" applyFont="1" applyFill="1" applyBorder="1" applyAlignment="1">
      <alignment horizontal="right" vertical="center"/>
    </xf>
    <xf numFmtId="165" fontId="9" fillId="0" borderId="23" xfId="0" applyNumberFormat="1" applyFont="1" applyFill="1" applyBorder="1" applyAlignment="1">
      <alignment horizontal="right" vertical="center"/>
    </xf>
    <xf numFmtId="165" fontId="9" fillId="35" borderId="24" xfId="0" applyNumberFormat="1" applyFont="1" applyFill="1" applyBorder="1" applyAlignment="1">
      <alignment horizontal="right" vertical="center"/>
    </xf>
    <xf numFmtId="165" fontId="9" fillId="0" borderId="21" xfId="0" applyNumberFormat="1" applyFont="1" applyFill="1" applyBorder="1" applyAlignment="1">
      <alignment horizontal="right" vertical="center"/>
    </xf>
    <xf numFmtId="0" fontId="77" fillId="34" borderId="25" xfId="0" applyNumberFormat="1" applyFont="1" applyFill="1" applyBorder="1" applyAlignment="1">
      <alignment horizontal="right" vertical="center"/>
    </xf>
    <xf numFmtId="165" fontId="77" fillId="34" borderId="11" xfId="0" applyNumberFormat="1" applyFont="1" applyFill="1" applyBorder="1" applyAlignment="1">
      <alignment horizontal="right" vertical="center"/>
    </xf>
    <xf numFmtId="165" fontId="77" fillId="34" borderId="26" xfId="0" applyNumberFormat="1" applyFont="1" applyFill="1" applyBorder="1" applyAlignment="1">
      <alignment horizontal="right" vertical="center"/>
    </xf>
    <xf numFmtId="165" fontId="77" fillId="35" borderId="12" xfId="0" applyNumberFormat="1" applyFont="1" applyFill="1" applyBorder="1" applyAlignment="1">
      <alignment horizontal="right" vertical="center"/>
    </xf>
    <xf numFmtId="165" fontId="77" fillId="34" borderId="25" xfId="0" applyNumberFormat="1" applyFont="1" applyFill="1" applyBorder="1" applyAlignment="1">
      <alignment horizontal="right" vertical="center"/>
    </xf>
    <xf numFmtId="165" fontId="77" fillId="34" borderId="27" xfId="0" applyNumberFormat="1" applyFont="1" applyFill="1" applyBorder="1" applyAlignment="1">
      <alignment horizontal="right" vertical="center"/>
    </xf>
    <xf numFmtId="0" fontId="9" fillId="34" borderId="25" xfId="0" applyNumberFormat="1" applyFont="1" applyFill="1" applyBorder="1" applyAlignment="1">
      <alignment horizontal="right" vertical="center"/>
    </xf>
    <xf numFmtId="165" fontId="9" fillId="34" borderId="11" xfId="0" applyNumberFormat="1" applyFont="1" applyFill="1" applyBorder="1" applyAlignment="1">
      <alignment horizontal="right" vertical="center"/>
    </xf>
    <xf numFmtId="165" fontId="9" fillId="34" borderId="26" xfId="0" applyNumberFormat="1" applyFont="1" applyFill="1" applyBorder="1" applyAlignment="1">
      <alignment horizontal="right" vertical="center"/>
    </xf>
    <xf numFmtId="165" fontId="9" fillId="35" borderId="12" xfId="0" applyNumberFormat="1" applyFont="1" applyFill="1" applyBorder="1" applyAlignment="1">
      <alignment horizontal="right" vertical="center"/>
    </xf>
    <xf numFmtId="165" fontId="9" fillId="34" borderId="25" xfId="0" applyNumberFormat="1" applyFont="1" applyFill="1" applyBorder="1" applyAlignment="1">
      <alignment horizontal="right" vertical="center"/>
    </xf>
    <xf numFmtId="165" fontId="9" fillId="34" borderId="27" xfId="0" applyNumberFormat="1" applyFont="1" applyFill="1" applyBorder="1" applyAlignment="1">
      <alignment horizontal="right" vertical="center"/>
    </xf>
    <xf numFmtId="0" fontId="77" fillId="34" borderId="28" xfId="0" applyNumberFormat="1" applyFont="1" applyFill="1" applyBorder="1" applyAlignment="1">
      <alignment horizontal="right" vertical="center"/>
    </xf>
    <xf numFmtId="165" fontId="77" fillId="34" borderId="29" xfId="0" applyNumberFormat="1" applyFont="1" applyFill="1" applyBorder="1" applyAlignment="1">
      <alignment horizontal="right" vertical="center"/>
    </xf>
    <xf numFmtId="165" fontId="77" fillId="34" borderId="30" xfId="0" applyNumberFormat="1" applyFont="1" applyFill="1" applyBorder="1" applyAlignment="1">
      <alignment horizontal="right" vertical="center"/>
    </xf>
    <xf numFmtId="165" fontId="77" fillId="35" borderId="31" xfId="0" applyNumberFormat="1" applyFont="1" applyFill="1" applyBorder="1" applyAlignment="1">
      <alignment horizontal="right" vertical="center"/>
    </xf>
    <xf numFmtId="165" fontId="77" fillId="34" borderId="28" xfId="0" applyNumberFormat="1" applyFont="1" applyFill="1" applyBorder="1" applyAlignment="1">
      <alignment horizontal="right" vertical="center"/>
    </xf>
    <xf numFmtId="165" fontId="77" fillId="34" borderId="32" xfId="0" applyNumberFormat="1" applyFont="1" applyFill="1" applyBorder="1" applyAlignment="1">
      <alignment horizontal="right" vertical="center"/>
    </xf>
    <xf numFmtId="165" fontId="9" fillId="34" borderId="21" xfId="0" applyNumberFormat="1" applyFont="1" applyFill="1" applyBorder="1" applyAlignment="1">
      <alignment horizontal="right" vertical="center"/>
    </xf>
    <xf numFmtId="165" fontId="9" fillId="34" borderId="22" xfId="0" applyNumberFormat="1" applyFont="1" applyFill="1" applyBorder="1" applyAlignment="1">
      <alignment horizontal="right" vertical="center"/>
    </xf>
    <xf numFmtId="0" fontId="77" fillId="2" borderId="25" xfId="0" applyNumberFormat="1" applyFont="1" applyFill="1" applyBorder="1" applyAlignment="1">
      <alignment horizontal="right" vertical="center"/>
    </xf>
    <xf numFmtId="165" fontId="77" fillId="2" borderId="11" xfId="0" applyNumberFormat="1" applyFont="1" applyFill="1" applyBorder="1" applyAlignment="1">
      <alignment horizontal="right" vertical="center"/>
    </xf>
    <xf numFmtId="165" fontId="77" fillId="2" borderId="26" xfId="0" applyNumberFormat="1" applyFont="1" applyFill="1" applyBorder="1" applyAlignment="1">
      <alignment horizontal="right" vertical="center"/>
    </xf>
    <xf numFmtId="165" fontId="77" fillId="2" borderId="25" xfId="0" applyNumberFormat="1" applyFont="1" applyFill="1" applyBorder="1" applyAlignment="1">
      <alignment horizontal="right" vertical="center"/>
    </xf>
    <xf numFmtId="165" fontId="77" fillId="2" borderId="27" xfId="0" applyNumberFormat="1" applyFont="1" applyFill="1" applyBorder="1" applyAlignment="1">
      <alignment horizontal="right" vertical="center"/>
    </xf>
    <xf numFmtId="0" fontId="9" fillId="2" borderId="25" xfId="0" applyNumberFormat="1" applyFont="1" applyFill="1" applyBorder="1" applyAlignment="1">
      <alignment horizontal="right" vertical="center"/>
    </xf>
    <xf numFmtId="165" fontId="9" fillId="2" borderId="11" xfId="0" applyNumberFormat="1" applyFont="1" applyFill="1" applyBorder="1" applyAlignment="1">
      <alignment horizontal="right" vertical="center"/>
    </xf>
    <xf numFmtId="165" fontId="9" fillId="2" borderId="26" xfId="0" applyNumberFormat="1" applyFont="1" applyFill="1" applyBorder="1" applyAlignment="1">
      <alignment horizontal="right" vertical="center"/>
    </xf>
    <xf numFmtId="165" fontId="9" fillId="2" borderId="25" xfId="0" applyNumberFormat="1" applyFont="1" applyFill="1" applyBorder="1" applyAlignment="1">
      <alignment horizontal="right" vertical="center"/>
    </xf>
    <xf numFmtId="165" fontId="9" fillId="2" borderId="27" xfId="0" applyNumberFormat="1" applyFont="1" applyFill="1" applyBorder="1" applyAlignment="1">
      <alignment horizontal="right" vertical="center"/>
    </xf>
    <xf numFmtId="0" fontId="77" fillId="2" borderId="28" xfId="0" applyNumberFormat="1" applyFont="1" applyFill="1" applyBorder="1" applyAlignment="1">
      <alignment horizontal="right" vertical="center"/>
    </xf>
    <xf numFmtId="165" fontId="77" fillId="2" borderId="29" xfId="0" applyNumberFormat="1" applyFont="1" applyFill="1" applyBorder="1" applyAlignment="1">
      <alignment horizontal="right" vertical="center"/>
    </xf>
    <xf numFmtId="165" fontId="77" fillId="2" borderId="30" xfId="0" applyNumberFormat="1" applyFont="1" applyFill="1" applyBorder="1" applyAlignment="1">
      <alignment horizontal="right" vertical="center"/>
    </xf>
    <xf numFmtId="165" fontId="77" fillId="2" borderId="28" xfId="0" applyNumberFormat="1" applyFont="1" applyFill="1" applyBorder="1" applyAlignment="1">
      <alignment horizontal="right" vertical="center"/>
    </xf>
    <xf numFmtId="165" fontId="77" fillId="2" borderId="32" xfId="0" applyNumberFormat="1" applyFont="1" applyFill="1" applyBorder="1" applyAlignment="1">
      <alignment horizontal="right" vertical="center"/>
    </xf>
    <xf numFmtId="170" fontId="9" fillId="0" borderId="22" xfId="0" applyNumberFormat="1" applyFont="1" applyFill="1" applyBorder="1" applyAlignment="1">
      <alignment horizontal="right" vertical="center"/>
    </xf>
    <xf numFmtId="165" fontId="9" fillId="0" borderId="33" xfId="0" applyNumberFormat="1" applyFont="1" applyFill="1" applyBorder="1" applyAlignment="1">
      <alignment horizontal="right" vertical="center"/>
    </xf>
    <xf numFmtId="0" fontId="9" fillId="33" borderId="34" xfId="0" applyNumberFormat="1" applyFont="1" applyFill="1" applyBorder="1" applyAlignment="1">
      <alignment horizontal="right" vertical="center"/>
    </xf>
    <xf numFmtId="165" fontId="9" fillId="33" borderId="35" xfId="0" applyNumberFormat="1" applyFont="1" applyFill="1" applyBorder="1" applyAlignment="1">
      <alignment horizontal="right" vertical="center"/>
    </xf>
    <xf numFmtId="165" fontId="9" fillId="33" borderId="36" xfId="0" applyNumberFormat="1" applyFont="1" applyFill="1" applyBorder="1" applyAlignment="1">
      <alignment horizontal="right" vertical="center"/>
    </xf>
    <xf numFmtId="165" fontId="9" fillId="35" borderId="19" xfId="0" applyNumberFormat="1" applyFont="1" applyFill="1" applyBorder="1" applyAlignment="1">
      <alignment horizontal="right" vertical="center"/>
    </xf>
    <xf numFmtId="165" fontId="9" fillId="33" borderId="34" xfId="0" applyNumberFormat="1" applyFont="1" applyFill="1" applyBorder="1" applyAlignment="1">
      <alignment horizontal="right" vertical="center"/>
    </xf>
    <xf numFmtId="165" fontId="9" fillId="33" borderId="37" xfId="0" applyNumberFormat="1" applyFont="1" applyFill="1" applyBorder="1" applyAlignment="1">
      <alignment horizontal="right" vertical="center"/>
    </xf>
    <xf numFmtId="0" fontId="9" fillId="33" borderId="25" xfId="0" applyNumberFormat="1" applyFont="1" applyFill="1" applyBorder="1" applyAlignment="1">
      <alignment horizontal="right" vertical="center"/>
    </xf>
    <xf numFmtId="165" fontId="9" fillId="33" borderId="11" xfId="0" applyNumberFormat="1" applyFont="1" applyFill="1" applyBorder="1" applyAlignment="1">
      <alignment horizontal="right" vertical="center"/>
    </xf>
    <xf numFmtId="165" fontId="9" fillId="33" borderId="26" xfId="0" applyNumberFormat="1" applyFont="1" applyFill="1" applyBorder="1" applyAlignment="1">
      <alignment horizontal="right" vertical="center"/>
    </xf>
    <xf numFmtId="165" fontId="9" fillId="33" borderId="25" xfId="0" applyNumberFormat="1" applyFont="1" applyFill="1" applyBorder="1" applyAlignment="1">
      <alignment horizontal="right" vertical="center"/>
    </xf>
    <xf numFmtId="165" fontId="9" fillId="33" borderId="38" xfId="0" applyNumberFormat="1" applyFont="1" applyFill="1" applyBorder="1" applyAlignment="1">
      <alignment horizontal="right" vertical="center"/>
    </xf>
    <xf numFmtId="0" fontId="77" fillId="33" borderId="13" xfId="0" applyNumberFormat="1" applyFont="1" applyFill="1" applyBorder="1" applyAlignment="1">
      <alignment horizontal="right" vertical="center"/>
    </xf>
    <xf numFmtId="165" fontId="77" fillId="33" borderId="14" xfId="0" applyNumberFormat="1" applyFont="1" applyFill="1" applyBorder="1" applyAlignment="1">
      <alignment horizontal="right" vertical="center"/>
    </xf>
    <xf numFmtId="165" fontId="77" fillId="33" borderId="39" xfId="0" applyNumberFormat="1" applyFont="1" applyFill="1" applyBorder="1" applyAlignment="1">
      <alignment horizontal="right" vertical="center"/>
    </xf>
    <xf numFmtId="165" fontId="77" fillId="35" borderId="20" xfId="0" applyNumberFormat="1" applyFont="1" applyFill="1" applyBorder="1" applyAlignment="1">
      <alignment horizontal="right" vertical="center"/>
    </xf>
    <xf numFmtId="165" fontId="77" fillId="33" borderId="13" xfId="0" applyNumberFormat="1" applyFont="1" applyFill="1" applyBorder="1" applyAlignment="1">
      <alignment horizontal="right" vertical="center"/>
    </xf>
    <xf numFmtId="165" fontId="77" fillId="33" borderId="15" xfId="0" applyNumberFormat="1" applyFont="1" applyFill="1" applyBorder="1" applyAlignment="1">
      <alignment horizontal="right" vertical="center"/>
    </xf>
    <xf numFmtId="0" fontId="81" fillId="14" borderId="21" xfId="0" applyNumberFormat="1" applyFont="1" applyFill="1" applyBorder="1" applyAlignment="1">
      <alignment horizontal="right" vertical="center"/>
    </xf>
    <xf numFmtId="165" fontId="81" fillId="14" borderId="22" xfId="0" applyNumberFormat="1" applyFont="1" applyFill="1" applyBorder="1" applyAlignment="1">
      <alignment horizontal="right" vertical="center"/>
    </xf>
    <xf numFmtId="165" fontId="81" fillId="14" borderId="23" xfId="0" applyNumberFormat="1" applyFont="1" applyFill="1" applyBorder="1" applyAlignment="1">
      <alignment horizontal="right" vertical="center"/>
    </xf>
    <xf numFmtId="165" fontId="81" fillId="35" borderId="24" xfId="0" applyNumberFormat="1" applyFont="1" applyFill="1" applyBorder="1" applyAlignment="1">
      <alignment horizontal="right" vertical="center"/>
    </xf>
    <xf numFmtId="165" fontId="81" fillId="14" borderId="21" xfId="0" applyNumberFormat="1" applyFont="1" applyFill="1" applyBorder="1" applyAlignment="1">
      <alignment horizontal="right" vertical="center"/>
    </xf>
    <xf numFmtId="165" fontId="81" fillId="14" borderId="33" xfId="0" applyNumberFormat="1" applyFont="1" applyFill="1" applyBorder="1" applyAlignment="1">
      <alignment horizontal="right" vertical="center"/>
    </xf>
    <xf numFmtId="0" fontId="81" fillId="14" borderId="25" xfId="0" applyNumberFormat="1" applyFont="1" applyFill="1" applyBorder="1" applyAlignment="1">
      <alignment horizontal="right" vertical="center"/>
    </xf>
    <xf numFmtId="165" fontId="81" fillId="14" borderId="11" xfId="0" applyNumberFormat="1" applyFont="1" applyFill="1" applyBorder="1" applyAlignment="1">
      <alignment horizontal="right" vertical="center"/>
    </xf>
    <xf numFmtId="165" fontId="81" fillId="14" borderId="26" xfId="0" applyNumberFormat="1" applyFont="1" applyFill="1" applyBorder="1" applyAlignment="1">
      <alignment horizontal="right" vertical="center"/>
    </xf>
    <xf numFmtId="165" fontId="81" fillId="35" borderId="12" xfId="0" applyNumberFormat="1" applyFont="1" applyFill="1" applyBorder="1" applyAlignment="1">
      <alignment horizontal="right" vertical="center"/>
    </xf>
    <xf numFmtId="165" fontId="81" fillId="14" borderId="25" xfId="0" applyNumberFormat="1" applyFont="1" applyFill="1" applyBorder="1" applyAlignment="1">
      <alignment horizontal="right" vertical="center"/>
    </xf>
    <xf numFmtId="165" fontId="81" fillId="14" borderId="27" xfId="0" applyNumberFormat="1" applyFont="1" applyFill="1" applyBorder="1" applyAlignment="1">
      <alignment horizontal="right" vertical="center"/>
    </xf>
    <xf numFmtId="0" fontId="77" fillId="14" borderId="28" xfId="0" applyNumberFormat="1" applyFont="1" applyFill="1" applyBorder="1" applyAlignment="1">
      <alignment horizontal="right" vertical="center"/>
    </xf>
    <xf numFmtId="165" fontId="77" fillId="14" borderId="29" xfId="0" applyNumberFormat="1" applyFont="1" applyFill="1" applyBorder="1" applyAlignment="1">
      <alignment horizontal="right" vertical="center"/>
    </xf>
    <xf numFmtId="165" fontId="77" fillId="14" borderId="30" xfId="0" applyNumberFormat="1" applyFont="1" applyFill="1" applyBorder="1" applyAlignment="1">
      <alignment horizontal="right" vertical="center"/>
    </xf>
    <xf numFmtId="165" fontId="77" fillId="14" borderId="28" xfId="0" applyNumberFormat="1" applyFont="1" applyFill="1" applyBorder="1" applyAlignment="1">
      <alignment horizontal="right" vertical="center"/>
    </xf>
    <xf numFmtId="165" fontId="77" fillId="14" borderId="32" xfId="0" applyNumberFormat="1" applyFont="1" applyFill="1" applyBorder="1" applyAlignment="1">
      <alignment horizontal="right" vertical="center"/>
    </xf>
    <xf numFmtId="166" fontId="12" fillId="0" borderId="11" xfId="0" applyNumberFormat="1" applyFont="1" applyFill="1" applyBorder="1" applyAlignment="1">
      <alignment horizontal="center" vertical="center"/>
    </xf>
    <xf numFmtId="0" fontId="82" fillId="0" borderId="11" xfId="0" applyFont="1" applyFill="1" applyBorder="1" applyAlignment="1">
      <alignment horizontal="center" vertical="center" wrapText="1"/>
    </xf>
    <xf numFmtId="9" fontId="12" fillId="0" borderId="11" xfId="0" applyNumberFormat="1" applyFont="1" applyFill="1" applyBorder="1" applyAlignment="1">
      <alignment horizontal="center" vertical="center"/>
    </xf>
    <xf numFmtId="166" fontId="76" fillId="0" borderId="11" xfId="0" applyNumberFormat="1" applyFont="1" applyFill="1" applyBorder="1" applyAlignment="1">
      <alignment horizontal="center" vertical="center"/>
    </xf>
    <xf numFmtId="9" fontId="76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3" fillId="0" borderId="0" xfId="0" applyFont="1" applyFill="1" applyAlignment="1">
      <alignment/>
    </xf>
    <xf numFmtId="0" fontId="80" fillId="0" borderId="0" xfId="0" applyFont="1" applyFill="1" applyAlignment="1">
      <alignment vertical="center"/>
    </xf>
    <xf numFmtId="4" fontId="75" fillId="0" borderId="11" xfId="0" applyNumberFormat="1" applyFont="1" applyFill="1" applyBorder="1" applyAlignment="1">
      <alignment vertical="center" wrapText="1"/>
    </xf>
    <xf numFmtId="4" fontId="76" fillId="0" borderId="11" xfId="0" applyNumberFormat="1" applyFont="1" applyFill="1" applyBorder="1" applyAlignment="1">
      <alignment vertical="center" wrapText="1"/>
    </xf>
    <xf numFmtId="9" fontId="0" fillId="0" borderId="0" xfId="60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9" fillId="2" borderId="16" xfId="0" applyFont="1" applyFill="1" applyBorder="1" applyAlignment="1">
      <alignment vertical="center"/>
    </xf>
    <xf numFmtId="0" fontId="9" fillId="2" borderId="21" xfId="0" applyNumberFormat="1" applyFont="1" applyFill="1" applyBorder="1" applyAlignment="1">
      <alignment horizontal="right" vertical="center"/>
    </xf>
    <xf numFmtId="165" fontId="9" fillId="2" borderId="22" xfId="0" applyNumberFormat="1" applyFont="1" applyFill="1" applyBorder="1" applyAlignment="1">
      <alignment horizontal="right" vertical="center"/>
    </xf>
    <xf numFmtId="165" fontId="9" fillId="2" borderId="23" xfId="0" applyNumberFormat="1" applyFont="1" applyFill="1" applyBorder="1" applyAlignment="1">
      <alignment horizontal="right" vertical="center"/>
    </xf>
    <xf numFmtId="165" fontId="9" fillId="2" borderId="21" xfId="0" applyNumberFormat="1" applyFont="1" applyFill="1" applyBorder="1" applyAlignment="1">
      <alignment horizontal="right" vertical="center"/>
    </xf>
    <xf numFmtId="165" fontId="9" fillId="2" borderId="33" xfId="0" applyNumberFormat="1" applyFont="1" applyFill="1" applyBorder="1" applyAlignment="1">
      <alignment horizontal="right" vertical="center"/>
    </xf>
    <xf numFmtId="4" fontId="42" fillId="0" borderId="0" xfId="0" applyNumberFormat="1" applyFont="1" applyFill="1" applyBorder="1" applyAlignment="1">
      <alignment vertical="center"/>
    </xf>
    <xf numFmtId="0" fontId="49" fillId="0" borderId="0" xfId="0" applyFont="1" applyAlignment="1">
      <alignment/>
    </xf>
    <xf numFmtId="0" fontId="5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 wrapText="1"/>
    </xf>
    <xf numFmtId="0" fontId="5" fillId="34" borderId="0" xfId="0" applyFont="1" applyFill="1" applyBorder="1" applyAlignment="1">
      <alignment wrapText="1"/>
    </xf>
    <xf numFmtId="0" fontId="84" fillId="34" borderId="0" xfId="0" applyFont="1" applyFill="1" applyAlignment="1">
      <alignment/>
    </xf>
    <xf numFmtId="0" fontId="6" fillId="34" borderId="0" xfId="0" applyFont="1" applyFill="1" applyAlignment="1">
      <alignment vertical="center"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8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7" fillId="34" borderId="0" xfId="0" applyFont="1" applyFill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4" fontId="76" fillId="0" borderId="11" xfId="0" applyNumberFormat="1" applyFont="1" applyFill="1" applyBorder="1" applyAlignment="1">
      <alignment horizontal="right" vertical="center"/>
    </xf>
    <xf numFmtId="4" fontId="82" fillId="0" borderId="11" xfId="0" applyNumberFormat="1" applyFont="1" applyFill="1" applyBorder="1" applyAlignment="1">
      <alignment horizontal="right" vertical="center" wrapText="1"/>
    </xf>
    <xf numFmtId="4" fontId="74" fillId="0" borderId="11" xfId="0" applyNumberFormat="1" applyFont="1" applyFill="1" applyBorder="1" applyAlignment="1">
      <alignment horizontal="right" vertical="center"/>
    </xf>
    <xf numFmtId="4" fontId="74" fillId="0" borderId="11" xfId="0" applyNumberFormat="1" applyFont="1" applyFill="1" applyBorder="1" applyAlignment="1">
      <alignment horizontal="right" vertical="center" wrapText="1"/>
    </xf>
    <xf numFmtId="4" fontId="10" fillId="0" borderId="11" xfId="0" applyNumberFormat="1" applyFont="1" applyFill="1" applyBorder="1" applyAlignment="1">
      <alignment horizontal="right" vertical="center" wrapText="1"/>
    </xf>
    <xf numFmtId="4" fontId="80" fillId="0" borderId="11" xfId="0" applyNumberFormat="1" applyFont="1" applyFill="1" applyBorder="1" applyAlignment="1">
      <alignment horizontal="right" vertical="center" wrapText="1"/>
    </xf>
    <xf numFmtId="4" fontId="74" fillId="0" borderId="11" xfId="42" applyNumberFormat="1" applyFont="1" applyFill="1" applyBorder="1" applyAlignment="1">
      <alignment horizontal="right" vertical="center"/>
    </xf>
    <xf numFmtId="0" fontId="74" fillId="0" borderId="11" xfId="0" applyFont="1" applyFill="1" applyBorder="1" applyAlignment="1">
      <alignment horizontal="right" vertical="center"/>
    </xf>
    <xf numFmtId="169" fontId="74" fillId="0" borderId="11" xfId="42" applyNumberFormat="1" applyFont="1" applyFill="1" applyBorder="1" applyAlignment="1">
      <alignment horizontal="right" vertical="center"/>
    </xf>
    <xf numFmtId="9" fontId="74" fillId="0" borderId="11" xfId="0" applyNumberFormat="1" applyFont="1" applyFill="1" applyBorder="1" applyAlignment="1">
      <alignment horizontal="center" vertical="center" wrapText="1"/>
    </xf>
    <xf numFmtId="9" fontId="74" fillId="0" borderId="11" xfId="0" applyNumberFormat="1" applyFont="1" applyFill="1" applyBorder="1" applyAlignment="1">
      <alignment horizontal="center" vertical="center"/>
    </xf>
    <xf numFmtId="4" fontId="74" fillId="0" borderId="11" xfId="0" applyNumberFormat="1" applyFont="1" applyFill="1" applyBorder="1" applyAlignment="1">
      <alignment horizontal="center" vertical="center" wrapText="1"/>
    </xf>
    <xf numFmtId="0" fontId="74" fillId="0" borderId="11" xfId="0" applyFont="1" applyFill="1" applyBorder="1" applyAlignment="1">
      <alignment horizontal="right" vertical="center" wrapText="1"/>
    </xf>
    <xf numFmtId="164" fontId="76" fillId="0" borderId="11" xfId="0" applyNumberFormat="1" applyFont="1" applyFill="1" applyBorder="1" applyAlignment="1">
      <alignment horizontal="right" vertical="center" wrapText="1"/>
    </xf>
    <xf numFmtId="164" fontId="74" fillId="0" borderId="11" xfId="0" applyNumberFormat="1" applyFont="1" applyFill="1" applyBorder="1" applyAlignment="1">
      <alignment horizontal="right" vertical="center" wrapText="1"/>
    </xf>
    <xf numFmtId="9" fontId="10" fillId="0" borderId="11" xfId="0" applyNumberFormat="1" applyFont="1" applyFill="1" applyBorder="1" applyAlignment="1">
      <alignment horizontal="center" vertical="center"/>
    </xf>
    <xf numFmtId="172" fontId="74" fillId="0" borderId="11" xfId="0" applyNumberFormat="1" applyFont="1" applyFill="1" applyBorder="1" applyAlignment="1">
      <alignment horizontal="right" vertical="center" wrapText="1"/>
    </xf>
    <xf numFmtId="166" fontId="74" fillId="0" borderId="11" xfId="0" applyNumberFormat="1" applyFont="1" applyFill="1" applyBorder="1" applyAlignment="1">
      <alignment horizontal="right" vertical="center" wrapText="1"/>
    </xf>
    <xf numFmtId="164" fontId="74" fillId="0" borderId="11" xfId="0" applyNumberFormat="1" applyFont="1" applyFill="1" applyBorder="1" applyAlignment="1">
      <alignment horizontal="right" vertical="center"/>
    </xf>
    <xf numFmtId="9" fontId="80" fillId="0" borderId="11" xfId="0" applyNumberFormat="1" applyFont="1" applyFill="1" applyBorder="1" applyAlignment="1">
      <alignment horizontal="center" vertical="center"/>
    </xf>
    <xf numFmtId="4" fontId="80" fillId="0" borderId="11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/>
    </xf>
    <xf numFmtId="0" fontId="51" fillId="0" borderId="0" xfId="0" applyFont="1" applyFill="1" applyAlignment="1">
      <alignment horizontal="left"/>
    </xf>
    <xf numFmtId="0" fontId="51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85" fillId="34" borderId="0" xfId="0" applyFont="1" applyFill="1" applyAlignment="1">
      <alignment/>
    </xf>
    <xf numFmtId="0" fontId="9" fillId="0" borderId="16" xfId="0" applyFont="1" applyFill="1" applyBorder="1" applyAlignment="1">
      <alignment vertical="center" wrapText="1"/>
    </xf>
    <xf numFmtId="0" fontId="83" fillId="34" borderId="0" xfId="0" applyFont="1" applyFill="1" applyAlignment="1">
      <alignment/>
    </xf>
    <xf numFmtId="0" fontId="0" fillId="34" borderId="0" xfId="0" applyFill="1" applyBorder="1" applyAlignment="1">
      <alignment vertical="center"/>
    </xf>
    <xf numFmtId="4" fontId="42" fillId="34" borderId="0" xfId="0" applyNumberFormat="1" applyFont="1" applyFill="1" applyAlignment="1">
      <alignment vertical="center"/>
    </xf>
    <xf numFmtId="0" fontId="42" fillId="34" borderId="0" xfId="0" applyFont="1" applyFill="1" applyAlignment="1">
      <alignment vertical="center"/>
    </xf>
    <xf numFmtId="4" fontId="82" fillId="0" borderId="11" xfId="0" applyNumberFormat="1" applyFont="1" applyFill="1" applyBorder="1" applyAlignment="1">
      <alignment horizontal="right" vertical="center"/>
    </xf>
    <xf numFmtId="4" fontId="80" fillId="0" borderId="11" xfId="42" applyNumberFormat="1" applyFont="1" applyFill="1" applyBorder="1" applyAlignment="1">
      <alignment horizontal="right" vertical="center"/>
    </xf>
    <xf numFmtId="4" fontId="75" fillId="0" borderId="35" xfId="0" applyNumberFormat="1" applyFont="1" applyFill="1" applyBorder="1" applyAlignment="1">
      <alignment horizontal="right" vertical="center" wrapText="1"/>
    </xf>
    <xf numFmtId="4" fontId="42" fillId="34" borderId="11" xfId="0" applyNumberFormat="1" applyFont="1" applyFill="1" applyBorder="1" applyAlignment="1">
      <alignment vertical="center"/>
    </xf>
    <xf numFmtId="0" fontId="42" fillId="34" borderId="11" xfId="0" applyFont="1" applyFill="1" applyBorder="1" applyAlignment="1">
      <alignment vertical="center"/>
    </xf>
    <xf numFmtId="166" fontId="12" fillId="0" borderId="35" xfId="0" applyNumberFormat="1" applyFont="1" applyFill="1" applyBorder="1" applyAlignment="1">
      <alignment horizontal="center" vertical="center"/>
    </xf>
    <xf numFmtId="0" fontId="82" fillId="0" borderId="35" xfId="0" applyFont="1" applyFill="1" applyBorder="1" applyAlignment="1">
      <alignment horizontal="center" vertical="center" wrapText="1"/>
    </xf>
    <xf numFmtId="9" fontId="12" fillId="0" borderId="35" xfId="0" applyNumberFormat="1" applyFont="1" applyFill="1" applyBorder="1" applyAlignment="1">
      <alignment horizontal="center" vertical="center"/>
    </xf>
    <xf numFmtId="0" fontId="85" fillId="0" borderId="0" xfId="0" applyFont="1" applyFill="1" applyAlignment="1">
      <alignment/>
    </xf>
    <xf numFmtId="4" fontId="75" fillId="0" borderId="35" xfId="0" applyNumberFormat="1" applyFont="1" applyFill="1" applyBorder="1" applyAlignment="1">
      <alignment vertical="center" wrapText="1"/>
    </xf>
    <xf numFmtId="9" fontId="0" fillId="0" borderId="0" xfId="60" applyFon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4" fontId="80" fillId="0" borderId="11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0" fontId="74" fillId="0" borderId="11" xfId="0" applyFont="1" applyFill="1" applyBorder="1" applyAlignment="1">
      <alignment horizontal="center" vertical="center" wrapText="1"/>
    </xf>
    <xf numFmtId="0" fontId="74" fillId="0" borderId="11" xfId="0" applyFont="1" applyFill="1" applyBorder="1" applyAlignment="1">
      <alignment vertical="center" wrapText="1"/>
    </xf>
    <xf numFmtId="167" fontId="74" fillId="0" borderId="11" xfId="0" applyNumberFormat="1" applyFont="1" applyFill="1" applyBorder="1" applyAlignment="1">
      <alignment horizontal="center" vertical="center" wrapText="1"/>
    </xf>
    <xf numFmtId="17" fontId="74" fillId="0" borderId="11" xfId="0" applyNumberFormat="1" applyFont="1" applyFill="1" applyBorder="1" applyAlignment="1">
      <alignment horizontal="center" vertical="center" wrapText="1"/>
    </xf>
    <xf numFmtId="49" fontId="74" fillId="0" borderId="11" xfId="0" applyNumberFormat="1" applyFont="1" applyFill="1" applyBorder="1" applyAlignment="1">
      <alignment horizontal="center" vertical="center" wrapText="1"/>
    </xf>
    <xf numFmtId="0" fontId="74" fillId="0" borderId="11" xfId="0" applyFont="1" applyFill="1" applyBorder="1" applyAlignment="1">
      <alignment horizontal="center" vertical="center"/>
    </xf>
    <xf numFmtId="166" fontId="74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80" fillId="0" borderId="11" xfId="0" applyFont="1" applyFill="1" applyBorder="1" applyAlignment="1">
      <alignment horizontal="center" vertical="center" wrapText="1"/>
    </xf>
    <xf numFmtId="49" fontId="80" fillId="0" borderId="11" xfId="0" applyNumberFormat="1" applyFont="1" applyFill="1" applyBorder="1" applyAlignment="1">
      <alignment horizontal="center" vertical="center" wrapText="1"/>
    </xf>
    <xf numFmtId="0" fontId="80" fillId="0" borderId="11" xfId="0" applyFont="1" applyFill="1" applyBorder="1" applyAlignment="1">
      <alignment vertical="center" wrapText="1"/>
    </xf>
    <xf numFmtId="167" fontId="80" fillId="0" borderId="11" xfId="0" applyNumberFormat="1" applyFont="1" applyFill="1" applyBorder="1" applyAlignment="1">
      <alignment horizontal="center" vertical="center" wrapText="1"/>
    </xf>
    <xf numFmtId="17" fontId="80" fillId="0" borderId="1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 wrapText="1"/>
    </xf>
    <xf numFmtId="167" fontId="10" fillId="0" borderId="11" xfId="0" applyNumberFormat="1" applyFont="1" applyFill="1" applyBorder="1" applyAlignment="1">
      <alignment horizontal="center" vertical="center" wrapText="1"/>
    </xf>
    <xf numFmtId="17" fontId="10" fillId="0" borderId="11" xfId="0" applyNumberFormat="1" applyFont="1" applyFill="1" applyBorder="1" applyAlignment="1">
      <alignment horizontal="center" vertical="center" wrapText="1"/>
    </xf>
    <xf numFmtId="167" fontId="74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/>
    </xf>
    <xf numFmtId="0" fontId="51" fillId="0" borderId="0" xfId="0" applyFont="1" applyFill="1" applyAlignment="1">
      <alignment horizontal="right"/>
    </xf>
    <xf numFmtId="0" fontId="86" fillId="0" borderId="0" xfId="0" applyFont="1" applyFill="1" applyAlignment="1">
      <alignment horizontal="right"/>
    </xf>
    <xf numFmtId="4" fontId="12" fillId="0" borderId="11" xfId="0" applyNumberFormat="1" applyFont="1" applyFill="1" applyBorder="1" applyAlignment="1">
      <alignment horizontal="right" vertical="center" wrapText="1"/>
    </xf>
    <xf numFmtId="0" fontId="73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right"/>
    </xf>
    <xf numFmtId="49" fontId="74" fillId="0" borderId="11" xfId="56" applyNumberFormat="1" applyFont="1" applyFill="1" applyBorder="1" applyAlignment="1">
      <alignment horizontal="center" vertical="center"/>
      <protection/>
    </xf>
    <xf numFmtId="0" fontId="10" fillId="0" borderId="11" xfId="0" applyFont="1" applyFill="1" applyBorder="1" applyAlignment="1">
      <alignment horizontal="center" vertical="center"/>
    </xf>
    <xf numFmtId="49" fontId="80" fillId="0" borderId="11" xfId="56" applyNumberFormat="1" applyFont="1" applyFill="1" applyBorder="1" applyAlignment="1">
      <alignment horizontal="center" vertical="center"/>
      <protection/>
    </xf>
    <xf numFmtId="4" fontId="0" fillId="0" borderId="0" xfId="0" applyNumberFormat="1" applyAlignment="1">
      <alignment horizontal="right"/>
    </xf>
    <xf numFmtId="0" fontId="12" fillId="0" borderId="0" xfId="0" applyFont="1" applyFill="1" applyAlignment="1">
      <alignment vertical="center"/>
    </xf>
    <xf numFmtId="0" fontId="54" fillId="0" borderId="0" xfId="0" applyFont="1" applyFill="1" applyAlignment="1">
      <alignment horizontal="left"/>
    </xf>
    <xf numFmtId="0" fontId="54" fillId="0" borderId="0" xfId="0" applyFont="1" applyFill="1" applyAlignment="1">
      <alignment horizontal="left" vertical="center"/>
    </xf>
    <xf numFmtId="4" fontId="76" fillId="0" borderId="26" xfId="0" applyNumberFormat="1" applyFont="1" applyFill="1" applyBorder="1" applyAlignment="1">
      <alignment horizontal="right" vertical="center"/>
    </xf>
    <xf numFmtId="4" fontId="74" fillId="0" borderId="26" xfId="0" applyNumberFormat="1" applyFont="1" applyFill="1" applyBorder="1" applyAlignment="1">
      <alignment horizontal="right" vertical="center"/>
    </xf>
    <xf numFmtId="4" fontId="74" fillId="0" borderId="26" xfId="0" applyNumberFormat="1" applyFont="1" applyFill="1" applyBorder="1" applyAlignment="1">
      <alignment horizontal="right" vertical="center" wrapText="1"/>
    </xf>
    <xf numFmtId="0" fontId="42" fillId="34" borderId="0" xfId="0" applyFont="1" applyFill="1" applyBorder="1" applyAlignment="1">
      <alignment vertical="center"/>
    </xf>
    <xf numFmtId="0" fontId="74" fillId="0" borderId="11" xfId="0" applyFont="1" applyFill="1" applyBorder="1" applyAlignment="1">
      <alignment horizontal="left" vertical="center" wrapText="1"/>
    </xf>
    <xf numFmtId="17" fontId="74" fillId="0" borderId="26" xfId="0" applyNumberFormat="1" applyFont="1" applyFill="1" applyBorder="1" applyAlignment="1">
      <alignment horizontal="center" vertical="center" wrapText="1"/>
    </xf>
    <xf numFmtId="0" fontId="74" fillId="0" borderId="26" xfId="0" applyFont="1" applyFill="1" applyBorder="1" applyAlignment="1">
      <alignment vertical="center" wrapText="1"/>
    </xf>
    <xf numFmtId="166" fontId="10" fillId="0" borderId="11" xfId="0" applyNumberFormat="1" applyFont="1" applyFill="1" applyBorder="1" applyAlignment="1">
      <alignment horizontal="center" vertical="center" wrapText="1"/>
    </xf>
    <xf numFmtId="0" fontId="85" fillId="0" borderId="11" xfId="0" applyFont="1" applyFill="1" applyBorder="1" applyAlignment="1">
      <alignment horizontal="center" vertical="center" wrapText="1"/>
    </xf>
    <xf numFmtId="4" fontId="80" fillId="0" borderId="11" xfId="0" applyNumberFormat="1" applyFont="1" applyFill="1" applyBorder="1" applyAlignment="1">
      <alignment horizontal="right"/>
    </xf>
    <xf numFmtId="0" fontId="74" fillId="0" borderId="11" xfId="0" applyFont="1" applyFill="1" applyBorder="1" applyAlignment="1">
      <alignment vertical="center"/>
    </xf>
    <xf numFmtId="4" fontId="10" fillId="0" borderId="11" xfId="0" applyNumberFormat="1" applyFont="1" applyFill="1" applyBorder="1" applyAlignment="1">
      <alignment horizontal="right" vertical="center"/>
    </xf>
    <xf numFmtId="4" fontId="10" fillId="0" borderId="11" xfId="0" applyNumberFormat="1" applyFont="1" applyFill="1" applyBorder="1" applyAlignment="1">
      <alignment horizontal="right"/>
    </xf>
    <xf numFmtId="4" fontId="74" fillId="0" borderId="11" xfId="0" applyNumberFormat="1" applyFont="1" applyFill="1" applyBorder="1" applyAlignment="1">
      <alignment horizontal="right"/>
    </xf>
    <xf numFmtId="4" fontId="42" fillId="34" borderId="0" xfId="0" applyNumberFormat="1" applyFont="1" applyFill="1" applyBorder="1" applyAlignment="1">
      <alignment vertical="center"/>
    </xf>
    <xf numFmtId="0" fontId="74" fillId="0" borderId="11" xfId="0" applyFont="1" applyFill="1" applyBorder="1" applyAlignment="1">
      <alignment horizontal="center" wrapText="1"/>
    </xf>
    <xf numFmtId="168" fontId="74" fillId="0" borderId="11" xfId="42" applyNumberFormat="1" applyFont="1" applyFill="1" applyBorder="1" applyAlignment="1">
      <alignment horizontal="right" vertical="center"/>
    </xf>
    <xf numFmtId="9" fontId="0" fillId="0" borderId="0" xfId="60" applyNumberFormat="1" applyFont="1" applyFill="1" applyAlignment="1">
      <alignment horizontal="center" vertical="center"/>
    </xf>
    <xf numFmtId="4" fontId="74" fillId="0" borderId="11" xfId="0" applyNumberFormat="1" applyFont="1" applyFill="1" applyBorder="1" applyAlignment="1">
      <alignment horizontal="right" wrapText="1"/>
    </xf>
    <xf numFmtId="0" fontId="0" fillId="36" borderId="0" xfId="0" applyFill="1" applyBorder="1" applyAlignment="1">
      <alignment vertical="center"/>
    </xf>
    <xf numFmtId="4" fontId="42" fillId="36" borderId="0" xfId="0" applyNumberFormat="1" applyFont="1" applyFill="1" applyAlignment="1">
      <alignment vertical="center"/>
    </xf>
    <xf numFmtId="0" fontId="42" fillId="36" borderId="0" xfId="0" applyFont="1" applyFill="1" applyAlignment="1">
      <alignment vertical="center"/>
    </xf>
    <xf numFmtId="0" fontId="0" fillId="0" borderId="11" xfId="0" applyFill="1" applyBorder="1" applyAlignment="1">
      <alignment vertical="center"/>
    </xf>
    <xf numFmtId="0" fontId="0" fillId="36" borderId="0" xfId="0" applyFill="1" applyAlignment="1">
      <alignment/>
    </xf>
    <xf numFmtId="0" fontId="0" fillId="37" borderId="0" xfId="0" applyFill="1" applyBorder="1" applyAlignment="1">
      <alignment vertical="center"/>
    </xf>
    <xf numFmtId="0" fontId="75" fillId="0" borderId="11" xfId="0" applyFont="1" applyFill="1" applyBorder="1" applyAlignment="1">
      <alignment horizontal="center" vertical="center" wrapText="1"/>
    </xf>
    <xf numFmtId="0" fontId="76" fillId="0" borderId="11" xfId="0" applyFont="1" applyFill="1" applyBorder="1" applyAlignment="1">
      <alignment horizontal="center" vertical="center" wrapText="1"/>
    </xf>
    <xf numFmtId="0" fontId="74" fillId="0" borderId="35" xfId="0" applyFont="1" applyFill="1" applyBorder="1" applyAlignment="1">
      <alignment horizontal="center" vertical="center"/>
    </xf>
    <xf numFmtId="0" fontId="74" fillId="0" borderId="35" xfId="0" applyFont="1" applyFill="1" applyBorder="1" applyAlignment="1">
      <alignment horizontal="center" vertical="center" wrapText="1"/>
    </xf>
    <xf numFmtId="49" fontId="74" fillId="0" borderId="35" xfId="56" applyNumberFormat="1" applyFont="1" applyFill="1" applyBorder="1" applyAlignment="1">
      <alignment horizontal="center" vertical="center"/>
      <protection/>
    </xf>
    <xf numFmtId="0" fontId="74" fillId="0" borderId="35" xfId="0" applyFont="1" applyFill="1" applyBorder="1" applyAlignment="1">
      <alignment vertical="center" wrapText="1"/>
    </xf>
    <xf numFmtId="4" fontId="74" fillId="0" borderId="35" xfId="0" applyNumberFormat="1" applyFont="1" applyFill="1" applyBorder="1" applyAlignment="1">
      <alignment horizontal="center" vertical="center" wrapText="1"/>
    </xf>
    <xf numFmtId="167" fontId="74" fillId="0" borderId="35" xfId="0" applyNumberFormat="1" applyFont="1" applyFill="1" applyBorder="1" applyAlignment="1">
      <alignment horizontal="center" vertical="center" wrapText="1"/>
    </xf>
    <xf numFmtId="17" fontId="74" fillId="0" borderId="35" xfId="0" applyNumberFormat="1" applyFont="1" applyFill="1" applyBorder="1" applyAlignment="1">
      <alignment horizontal="center" vertical="center" wrapText="1"/>
    </xf>
    <xf numFmtId="4" fontId="76" fillId="0" borderId="35" xfId="0" applyNumberFormat="1" applyFont="1" applyFill="1" applyBorder="1" applyAlignment="1">
      <alignment horizontal="right" vertical="center" wrapText="1"/>
    </xf>
    <xf numFmtId="4" fontId="74" fillId="0" borderId="35" xfId="0" applyNumberFormat="1" applyFont="1" applyFill="1" applyBorder="1" applyAlignment="1">
      <alignment horizontal="right" vertical="center"/>
    </xf>
    <xf numFmtId="4" fontId="74" fillId="0" borderId="35" xfId="42" applyNumberFormat="1" applyFont="1" applyFill="1" applyBorder="1" applyAlignment="1">
      <alignment horizontal="right" vertical="center"/>
    </xf>
    <xf numFmtId="4" fontId="74" fillId="0" borderId="35" xfId="0" applyNumberFormat="1" applyFont="1" applyFill="1" applyBorder="1" applyAlignment="1">
      <alignment horizontal="right"/>
    </xf>
    <xf numFmtId="0" fontId="74" fillId="0" borderId="35" xfId="0" applyFont="1" applyFill="1" applyBorder="1" applyAlignment="1">
      <alignment horizontal="right" vertical="center"/>
    </xf>
    <xf numFmtId="0" fontId="7" fillId="34" borderId="40" xfId="0" applyFont="1" applyFill="1" applyBorder="1" applyAlignment="1">
      <alignment horizontal="center" vertical="center"/>
    </xf>
    <xf numFmtId="0" fontId="7" fillId="34" borderId="41" xfId="0" applyFont="1" applyFill="1" applyBorder="1" applyAlignment="1">
      <alignment horizontal="center" vertical="center"/>
    </xf>
    <xf numFmtId="0" fontId="7" fillId="34" borderId="42" xfId="0" applyFont="1" applyFill="1" applyBorder="1" applyAlignment="1">
      <alignment horizontal="center" vertical="center"/>
    </xf>
    <xf numFmtId="0" fontId="7" fillId="34" borderId="43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44" xfId="0" applyFont="1" applyFill="1" applyBorder="1" applyAlignment="1">
      <alignment horizontal="center" vertical="center"/>
    </xf>
    <xf numFmtId="0" fontId="6" fillId="34" borderId="45" xfId="0" applyFont="1" applyFill="1" applyBorder="1" applyAlignment="1">
      <alignment horizontal="center" vertical="center"/>
    </xf>
    <xf numFmtId="0" fontId="6" fillId="34" borderId="46" xfId="0" applyFont="1" applyFill="1" applyBorder="1" applyAlignment="1">
      <alignment horizontal="center" vertical="center"/>
    </xf>
    <xf numFmtId="0" fontId="6" fillId="34" borderId="47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35" borderId="48" xfId="0" applyFont="1" applyFill="1" applyBorder="1" applyAlignment="1">
      <alignment horizontal="center" vertical="center" wrapText="1"/>
    </xf>
    <xf numFmtId="0" fontId="9" fillId="35" borderId="20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5" fillId="0" borderId="11" xfId="0" applyFont="1" applyFill="1" applyBorder="1" applyAlignment="1">
      <alignment horizontal="center" vertical="center" wrapText="1"/>
    </xf>
    <xf numFmtId="0" fontId="75" fillId="0" borderId="11" xfId="0" applyFont="1" applyFill="1" applyBorder="1" applyAlignment="1">
      <alignment horizontal="right" vertical="center" wrapText="1"/>
    </xf>
    <xf numFmtId="0" fontId="76" fillId="0" borderId="11" xfId="0" applyFont="1" applyFill="1" applyBorder="1" applyAlignment="1">
      <alignment horizontal="center" vertical="center" wrapText="1" shrinkToFit="1"/>
    </xf>
    <xf numFmtId="0" fontId="82" fillId="0" borderId="11" xfId="0" applyFont="1" applyFill="1" applyBorder="1" applyAlignment="1">
      <alignment horizontal="center" vertical="center" wrapText="1" shrinkToFit="1"/>
    </xf>
    <xf numFmtId="0" fontId="76" fillId="0" borderId="26" xfId="0" applyFont="1" applyFill="1" applyBorder="1" applyAlignment="1">
      <alignment horizontal="center" vertical="center" wrapText="1"/>
    </xf>
    <xf numFmtId="0" fontId="76" fillId="0" borderId="55" xfId="0" applyFont="1" applyFill="1" applyBorder="1" applyAlignment="1">
      <alignment horizontal="center" vertical="center" wrapText="1"/>
    </xf>
    <xf numFmtId="0" fontId="76" fillId="0" borderId="25" xfId="0" applyFont="1" applyFill="1" applyBorder="1" applyAlignment="1">
      <alignment horizontal="center" vertical="center" wrapText="1"/>
    </xf>
    <xf numFmtId="0" fontId="75" fillId="0" borderId="26" xfId="0" applyFont="1" applyFill="1" applyBorder="1" applyAlignment="1">
      <alignment horizontal="center" vertical="center" wrapText="1"/>
    </xf>
    <xf numFmtId="0" fontId="75" fillId="0" borderId="55" xfId="0" applyFont="1" applyFill="1" applyBorder="1" applyAlignment="1">
      <alignment horizontal="center" vertical="center" wrapText="1"/>
    </xf>
    <xf numFmtId="0" fontId="75" fillId="0" borderId="25" xfId="0" applyFont="1" applyFill="1" applyBorder="1" applyAlignment="1">
      <alignment horizontal="center" vertical="center" wrapText="1"/>
    </xf>
    <xf numFmtId="0" fontId="75" fillId="0" borderId="36" xfId="0" applyFont="1" applyFill="1" applyBorder="1" applyAlignment="1">
      <alignment horizontal="center" vertical="center" wrapText="1"/>
    </xf>
    <xf numFmtId="0" fontId="75" fillId="0" borderId="56" xfId="0" applyFont="1" applyFill="1" applyBorder="1" applyAlignment="1">
      <alignment horizontal="center" vertical="center" wrapText="1"/>
    </xf>
    <xf numFmtId="0" fontId="75" fillId="0" borderId="34" xfId="0" applyFont="1" applyFill="1" applyBorder="1" applyAlignment="1">
      <alignment horizontal="center" vertical="center" wrapText="1"/>
    </xf>
    <xf numFmtId="0" fontId="75" fillId="0" borderId="14" xfId="0" applyFont="1" applyFill="1" applyBorder="1" applyAlignment="1">
      <alignment horizontal="center" vertical="center" wrapText="1"/>
    </xf>
    <xf numFmtId="0" fontId="75" fillId="0" borderId="35" xfId="0" applyFont="1" applyFill="1" applyBorder="1" applyAlignment="1">
      <alignment horizontal="center" vertical="center" wrapText="1"/>
    </xf>
    <xf numFmtId="0" fontId="76" fillId="0" borderId="11" xfId="0" applyFont="1" applyFill="1" applyBorder="1" applyAlignment="1">
      <alignment horizontal="center" vertical="center" wrapText="1"/>
    </xf>
    <xf numFmtId="0" fontId="75" fillId="0" borderId="39" xfId="0" applyFont="1" applyFill="1" applyBorder="1" applyAlignment="1">
      <alignment horizontal="center" vertical="center" wrapText="1"/>
    </xf>
    <xf numFmtId="4" fontId="76" fillId="0" borderId="35" xfId="0" applyNumberFormat="1" applyFont="1" applyFill="1" applyBorder="1" applyAlignment="1">
      <alignment horizontal="right" vertical="center"/>
    </xf>
    <xf numFmtId="9" fontId="74" fillId="0" borderId="35" xfId="0" applyNumberFormat="1" applyFont="1" applyFill="1" applyBorder="1" applyAlignment="1">
      <alignment horizontal="center" vertical="center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Excel Built-in Normal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2 2" xfId="56"/>
    <cellStyle name="Normalny 3" xfId="57"/>
    <cellStyle name="Obliczenia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dxfs count="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breczko\AppData\Local\Temp\Zadania%20kt&#243;re%20nie%20wejd&#261;%20na%20rezerwow&#26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WIATY"/>
      <sheetName val="GMINY"/>
    </sheetNames>
    <sheetDataSet>
      <sheetData sheetId="1">
        <row r="4">
          <cell r="K4">
            <v>2381622</v>
          </cell>
          <cell r="L4">
            <v>1190811</v>
          </cell>
          <cell r="M4">
            <v>1190811</v>
          </cell>
          <cell r="N4">
            <v>0.5</v>
          </cell>
          <cell r="O4">
            <v>0</v>
          </cell>
          <cell r="P4">
            <v>0</v>
          </cell>
          <cell r="Q4">
            <v>1190811</v>
          </cell>
        </row>
        <row r="5">
          <cell r="K5">
            <v>1207555.6</v>
          </cell>
          <cell r="L5">
            <v>603777.8</v>
          </cell>
          <cell r="M5">
            <v>603777.8</v>
          </cell>
          <cell r="N5">
            <v>0.5</v>
          </cell>
          <cell r="O5">
            <v>0</v>
          </cell>
          <cell r="P5">
            <v>0</v>
          </cell>
          <cell r="Q5">
            <v>1156.35</v>
          </cell>
          <cell r="R5">
            <v>602621.45</v>
          </cell>
        </row>
        <row r="6">
          <cell r="K6">
            <v>2045845.58</v>
          </cell>
          <cell r="L6">
            <v>1227507.34</v>
          </cell>
          <cell r="M6">
            <v>818338.24</v>
          </cell>
          <cell r="N6">
            <v>0.6</v>
          </cell>
          <cell r="O6">
            <v>0</v>
          </cell>
          <cell r="P6">
            <v>0</v>
          </cell>
          <cell r="Q6">
            <v>1227507.34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"/>
  <sheetViews>
    <sheetView view="pageBreakPreview" zoomScale="80" zoomScaleSheetLayoutView="80" zoomScalePageLayoutView="70" workbookViewId="0" topLeftCell="A7">
      <selection activeCell="C3" sqref="C3"/>
    </sheetView>
  </sheetViews>
  <sheetFormatPr defaultColWidth="9.140625" defaultRowHeight="15"/>
  <cols>
    <col min="1" max="1" width="32.140625" style="7" customWidth="1"/>
    <col min="2" max="2" width="10.7109375" style="7" customWidth="1"/>
    <col min="3" max="5" width="20.7109375" style="7" customWidth="1"/>
    <col min="6" max="7" width="15.7109375" style="7" customWidth="1"/>
    <col min="8" max="8" width="18.421875" style="7" customWidth="1"/>
    <col min="9" max="10" width="17.140625" style="7" bestFit="1" customWidth="1"/>
    <col min="11" max="11" width="15.7109375" style="7" customWidth="1"/>
    <col min="12" max="12" width="17.140625" style="7" customWidth="1"/>
    <col min="13" max="15" width="15.7109375" style="7" customWidth="1"/>
    <col min="16" max="16" width="9.140625" style="7" customWidth="1"/>
    <col min="17" max="17" width="11.7109375" style="7" bestFit="1" customWidth="1"/>
    <col min="18" max="18" width="11.8515625" style="3" bestFit="1" customWidth="1"/>
    <col min="19" max="16384" width="9.140625" style="3" customWidth="1"/>
  </cols>
  <sheetData>
    <row r="1" spans="1:24" s="162" customFormat="1" ht="30" customHeight="1" thickBot="1">
      <c r="A1" s="159" t="s">
        <v>659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1"/>
      <c r="S1" s="161"/>
      <c r="T1" s="161"/>
      <c r="U1" s="161"/>
      <c r="V1" s="161"/>
      <c r="W1" s="161"/>
      <c r="X1" s="161"/>
    </row>
    <row r="2" spans="1:24" s="165" customFormat="1" ht="15">
      <c r="A2" s="163"/>
      <c r="B2" s="163"/>
      <c r="C2" s="163"/>
      <c r="D2" s="163"/>
      <c r="E2" s="163"/>
      <c r="F2" s="294" t="s">
        <v>18</v>
      </c>
      <c r="G2" s="295"/>
      <c r="H2" s="295"/>
      <c r="I2" s="295"/>
      <c r="J2" s="295"/>
      <c r="K2" s="295"/>
      <c r="L2" s="295"/>
      <c r="M2" s="295"/>
      <c r="N2" s="296"/>
      <c r="O2" s="163"/>
      <c r="P2" s="163"/>
      <c r="Q2" s="163"/>
      <c r="R2" s="164"/>
      <c r="S2" s="164"/>
      <c r="T2" s="164"/>
      <c r="U2" s="164"/>
      <c r="V2" s="164"/>
      <c r="W2" s="164"/>
      <c r="X2" s="164"/>
    </row>
    <row r="3" spans="1:24" s="165" customFormat="1" ht="15">
      <c r="A3" s="166"/>
      <c r="B3" s="163"/>
      <c r="C3" s="163"/>
      <c r="D3" s="163"/>
      <c r="E3" s="163"/>
      <c r="F3" s="297"/>
      <c r="G3" s="298"/>
      <c r="H3" s="298"/>
      <c r="I3" s="298"/>
      <c r="J3" s="298"/>
      <c r="K3" s="298"/>
      <c r="L3" s="298"/>
      <c r="M3" s="298"/>
      <c r="N3" s="299"/>
      <c r="O3" s="167"/>
      <c r="P3" s="167"/>
      <c r="Q3" s="167"/>
      <c r="X3" s="164"/>
    </row>
    <row r="4" spans="1:24" s="165" customFormat="1" ht="15">
      <c r="A4" s="168" t="s">
        <v>658</v>
      </c>
      <c r="B4" s="169"/>
      <c r="C4" s="169"/>
      <c r="D4" s="169"/>
      <c r="E4" s="169"/>
      <c r="F4" s="297"/>
      <c r="G4" s="298"/>
      <c r="H4" s="298"/>
      <c r="I4" s="298"/>
      <c r="J4" s="298"/>
      <c r="K4" s="298"/>
      <c r="L4" s="298"/>
      <c r="M4" s="298"/>
      <c r="N4" s="299"/>
      <c r="O4" s="167"/>
      <c r="P4" s="167"/>
      <c r="Q4" s="167"/>
      <c r="X4" s="170"/>
    </row>
    <row r="5" spans="1:24" s="165" customFormat="1" ht="15">
      <c r="A5" s="169"/>
      <c r="B5" s="169"/>
      <c r="C5" s="169"/>
      <c r="D5" s="169"/>
      <c r="E5" s="169"/>
      <c r="F5" s="297"/>
      <c r="G5" s="298"/>
      <c r="H5" s="298"/>
      <c r="I5" s="298"/>
      <c r="J5" s="298"/>
      <c r="K5" s="298"/>
      <c r="L5" s="298"/>
      <c r="M5" s="298"/>
      <c r="N5" s="299"/>
      <c r="O5" s="167"/>
      <c r="P5" s="167"/>
      <c r="Q5" s="167"/>
      <c r="X5" s="164"/>
    </row>
    <row r="6" spans="1:24" s="165" customFormat="1" ht="15">
      <c r="A6" s="168" t="s">
        <v>215</v>
      </c>
      <c r="B6" s="169"/>
      <c r="C6" s="169"/>
      <c r="D6" s="169"/>
      <c r="E6" s="169"/>
      <c r="F6" s="297"/>
      <c r="G6" s="298"/>
      <c r="H6" s="298"/>
      <c r="I6" s="298"/>
      <c r="J6" s="298"/>
      <c r="K6" s="298"/>
      <c r="L6" s="298"/>
      <c r="M6" s="298"/>
      <c r="N6" s="299"/>
      <c r="O6" s="167"/>
      <c r="P6" s="167"/>
      <c r="Q6" s="167"/>
      <c r="X6" s="170"/>
    </row>
    <row r="7" spans="1:24" s="165" customFormat="1" ht="15.75" thickBot="1">
      <c r="A7" s="169"/>
      <c r="B7" s="169"/>
      <c r="C7" s="169"/>
      <c r="D7" s="169"/>
      <c r="E7" s="169"/>
      <c r="F7" s="300" t="s">
        <v>19</v>
      </c>
      <c r="G7" s="301"/>
      <c r="H7" s="301"/>
      <c r="I7" s="301"/>
      <c r="J7" s="301"/>
      <c r="K7" s="301"/>
      <c r="L7" s="301"/>
      <c r="M7" s="301"/>
      <c r="N7" s="302"/>
      <c r="O7" s="167"/>
      <c r="P7" s="167"/>
      <c r="Q7" s="167"/>
      <c r="X7" s="164"/>
    </row>
    <row r="8" spans="1:24" s="165" customFormat="1" ht="15">
      <c r="A8" s="169"/>
      <c r="B8" s="169"/>
      <c r="C8" s="169"/>
      <c r="D8" s="169"/>
      <c r="E8" s="169"/>
      <c r="F8" s="171"/>
      <c r="G8" s="171"/>
      <c r="H8" s="171"/>
      <c r="I8" s="171"/>
      <c r="J8" s="171"/>
      <c r="K8" s="171"/>
      <c r="L8" s="171"/>
      <c r="M8" s="171"/>
      <c r="N8" s="171"/>
      <c r="O8" s="167"/>
      <c r="P8" s="167"/>
      <c r="Q8" s="167"/>
      <c r="X8" s="164"/>
    </row>
    <row r="9" spans="1:24" s="165" customFormat="1" ht="19.5" customHeight="1" thickBot="1">
      <c r="A9" s="168" t="s">
        <v>0</v>
      </c>
      <c r="B9" s="169"/>
      <c r="C9" s="169"/>
      <c r="D9" s="169"/>
      <c r="E9" s="169"/>
      <c r="F9" s="171"/>
      <c r="G9" s="171"/>
      <c r="H9" s="171"/>
      <c r="I9" s="171"/>
      <c r="J9" s="171"/>
      <c r="K9" s="171"/>
      <c r="L9" s="171"/>
      <c r="M9" s="171"/>
      <c r="N9" s="171"/>
      <c r="O9" s="167"/>
      <c r="P9" s="167"/>
      <c r="Q9" s="167"/>
      <c r="X9" s="164"/>
    </row>
    <row r="10" spans="1:24" ht="19.5" customHeight="1">
      <c r="A10" s="303" t="s">
        <v>1</v>
      </c>
      <c r="B10" s="305" t="s">
        <v>35</v>
      </c>
      <c r="C10" s="307" t="s">
        <v>20</v>
      </c>
      <c r="D10" s="309" t="s">
        <v>21</v>
      </c>
      <c r="E10" s="311" t="s">
        <v>22</v>
      </c>
      <c r="F10" s="313" t="s">
        <v>12</v>
      </c>
      <c r="G10" s="314"/>
      <c r="H10" s="314"/>
      <c r="I10" s="314"/>
      <c r="J10" s="314"/>
      <c r="K10" s="314"/>
      <c r="L10" s="314"/>
      <c r="M10" s="314"/>
      <c r="N10" s="314"/>
      <c r="O10" s="315"/>
      <c r="P10" s="21"/>
      <c r="Q10" s="21"/>
      <c r="R10" s="2"/>
      <c r="S10" s="2"/>
      <c r="T10" s="2"/>
      <c r="U10" s="2"/>
      <c r="X10" s="6"/>
    </row>
    <row r="11" spans="1:24" s="1" customFormat="1" ht="19.5" customHeight="1" thickBot="1">
      <c r="A11" s="304"/>
      <c r="B11" s="306"/>
      <c r="C11" s="308"/>
      <c r="D11" s="310"/>
      <c r="E11" s="312"/>
      <c r="F11" s="39">
        <v>2019</v>
      </c>
      <c r="G11" s="40">
        <v>2020</v>
      </c>
      <c r="H11" s="40">
        <v>2021</v>
      </c>
      <c r="I11" s="40">
        <v>2022</v>
      </c>
      <c r="J11" s="40">
        <v>2023</v>
      </c>
      <c r="K11" s="40">
        <v>2024</v>
      </c>
      <c r="L11" s="40">
        <v>2025</v>
      </c>
      <c r="M11" s="40">
        <v>2026</v>
      </c>
      <c r="N11" s="40">
        <v>2027</v>
      </c>
      <c r="O11" s="41">
        <v>2028</v>
      </c>
      <c r="P11" s="8"/>
      <c r="Q11" s="8"/>
      <c r="R11" s="8"/>
      <c r="S11" s="8"/>
      <c r="T11" s="8"/>
      <c r="U11" s="8"/>
      <c r="V11" s="9"/>
      <c r="W11" s="9"/>
      <c r="X11" s="9"/>
    </row>
    <row r="12" spans="1:24" ht="39.75" customHeight="1" thickTop="1">
      <c r="A12" s="200" t="s">
        <v>37</v>
      </c>
      <c r="B12" s="63">
        <f>COUNTIF('pow podst'!K3:K85,"&gt;0")</f>
        <v>83</v>
      </c>
      <c r="C12" s="64">
        <f>SUM('pow podst'!J3:J85)</f>
        <v>449675003.25000006</v>
      </c>
      <c r="D12" s="65">
        <f>SUM('pow podst'!L3:L85)</f>
        <v>219481277.03000006</v>
      </c>
      <c r="E12" s="66">
        <f>SUM('pow podst'!K3:K85)</f>
        <v>230193726.21999997</v>
      </c>
      <c r="F12" s="67">
        <f>SUM('pow podst'!N3:N85)</f>
        <v>0</v>
      </c>
      <c r="G12" s="64">
        <f>SUM('pow podst'!O3:O85)</f>
        <v>4445884.39</v>
      </c>
      <c r="H12" s="64">
        <f>SUM('pow podst'!P3:P85)</f>
        <v>35517481.92</v>
      </c>
      <c r="I12" s="64">
        <f>SUM('pow podst'!Q3:Q85)</f>
        <v>123169258.84000002</v>
      </c>
      <c r="J12" s="64">
        <f>SUM('pow podst'!R3:R85)</f>
        <v>48295454.81</v>
      </c>
      <c r="K12" s="64">
        <f>SUM('pow podst'!S3:S85)</f>
        <v>18765646.259999998</v>
      </c>
      <c r="L12" s="64">
        <f>SUM('pow podst'!T3:T85)</f>
        <v>0</v>
      </c>
      <c r="M12" s="64">
        <f>SUM('pow podst'!U3:U85)</f>
        <v>0</v>
      </c>
      <c r="N12" s="64">
        <f>SUM('pow podst'!V3:V85)</f>
        <v>0</v>
      </c>
      <c r="O12" s="64">
        <f>SUM('pow podst'!W3:W85)</f>
        <v>0</v>
      </c>
      <c r="P12" s="10" t="b">
        <f>C12=(D12+E12)</f>
        <v>1</v>
      </c>
      <c r="Q12" s="29" t="b">
        <f>E12=SUM(F12:O12)</f>
        <v>1</v>
      </c>
      <c r="R12" s="11"/>
      <c r="S12" s="11"/>
      <c r="T12" s="12"/>
      <c r="U12" s="12"/>
      <c r="V12" s="13"/>
      <c r="W12" s="6"/>
      <c r="X12" s="6"/>
    </row>
    <row r="13" spans="1:24" ht="39.75" customHeight="1">
      <c r="A13" s="43" t="s">
        <v>38</v>
      </c>
      <c r="B13" s="68">
        <f>_xlfn.COUNTIFS('pow podst'!K3:K85,"&gt;0",'pow podst'!C3:C85,"K")</f>
        <v>42</v>
      </c>
      <c r="C13" s="69">
        <f>SUMIF('pow podst'!C3:C85,"K",'pow podst'!J3:J85)</f>
        <v>234887462.65</v>
      </c>
      <c r="D13" s="70">
        <f>SUMIF('pow podst'!C3:C85,"K",'pow podst'!L3:L85)</f>
        <v>114410385.73</v>
      </c>
      <c r="E13" s="71">
        <f>SUMIF('pow podst'!C3:C85,"K",'pow podst'!K3:K85)</f>
        <v>120477076.91999999</v>
      </c>
      <c r="F13" s="72">
        <f>SUMIF('pow podst'!C3:C85,"K",'pow podst'!N3:N85)</f>
        <v>0</v>
      </c>
      <c r="G13" s="69">
        <f>SUMIF('pow podst'!C3:C85,"K",'pow podst'!O3:O85)</f>
        <v>4445884.39</v>
      </c>
      <c r="H13" s="69">
        <f>SUMIF('pow podst'!C3:C85,"K",'pow podst'!P3:P85)</f>
        <v>35517481.92</v>
      </c>
      <c r="I13" s="69">
        <f>SUMIF('pow podst'!C3:C85,"K",'pow podst'!Q3:Q85)</f>
        <v>61915152.66</v>
      </c>
      <c r="J13" s="69">
        <f>SUMIF('pow podst'!C3:C85,"K",'pow podst'!R3:R85)</f>
        <v>18598557.950000003</v>
      </c>
      <c r="K13" s="69">
        <f>SUMIF('pow podst'!C3:C85,"K",'pow podst'!S3:S85)</f>
        <v>0</v>
      </c>
      <c r="L13" s="69">
        <f>SUMIF('pow podst'!C3:C85,"K",'pow podst'!T3:T85)</f>
        <v>0</v>
      </c>
      <c r="M13" s="69">
        <f>SUMIF('pow podst'!C3:C85,"K",'pow podst'!U3:U85)</f>
        <v>0</v>
      </c>
      <c r="N13" s="69">
        <f>SUMIF('pow podst'!C3:C85,"K",'pow podst'!V3:V85)</f>
        <v>0</v>
      </c>
      <c r="O13" s="73">
        <f>SUMIF('pow podst'!C3:C85,"K",'pow podst'!W3:W85)</f>
        <v>0</v>
      </c>
      <c r="P13" s="10" t="b">
        <f aca="true" t="shared" si="0" ref="P13:P22">C13=(D13+E13)</f>
        <v>1</v>
      </c>
      <c r="Q13" s="29" t="b">
        <f aca="true" t="shared" si="1" ref="Q13:Q19">E13=SUM(F13:O13)</f>
        <v>1</v>
      </c>
      <c r="R13" s="11"/>
      <c r="S13" s="11"/>
      <c r="T13" s="12"/>
      <c r="U13" s="12"/>
      <c r="V13" s="13"/>
      <c r="W13" s="6"/>
      <c r="X13" s="6"/>
    </row>
    <row r="14" spans="1:24" ht="39.75" customHeight="1">
      <c r="A14" s="44" t="s">
        <v>39</v>
      </c>
      <c r="B14" s="74">
        <f>_xlfn.COUNTIFS('pow podst'!K3:K85,"&gt;0",'pow podst'!C3:C85,"N")</f>
        <v>22</v>
      </c>
      <c r="C14" s="75">
        <f>SUMIF('pow podst'!C3:C85,"N",'pow podst'!J3:J85)</f>
        <v>86577156.80000001</v>
      </c>
      <c r="D14" s="76">
        <f>SUMIF('pow podst'!C3:C85,"N",'pow podst'!L3:L85)</f>
        <v>42707537.81999999</v>
      </c>
      <c r="E14" s="77">
        <f>SUMIF('pow podst'!C3:C85,"N",'pow podst'!K3:K85)</f>
        <v>43869618.98</v>
      </c>
      <c r="F14" s="78">
        <f>SUMIF('pow podst'!C3:C85,"N",'pow podst'!N3:N85)</f>
        <v>0</v>
      </c>
      <c r="G14" s="75">
        <f>SUMIF('pow podst'!C3:C85,"N",'pow podst'!O3:O85)</f>
        <v>0</v>
      </c>
      <c r="H14" s="75">
        <f>SUMIF('pow podst'!C3:C85,"N",'pow podst'!P3:P85)</f>
        <v>0</v>
      </c>
      <c r="I14" s="75">
        <f>SUMIF('pow podst'!C3:C85,"N",'pow podst'!Q3:Q85)</f>
        <v>43869618.98</v>
      </c>
      <c r="J14" s="75">
        <f>SUMIF('pow podst'!C3:C85,"N",'pow podst'!R3:R85)</f>
        <v>0</v>
      </c>
      <c r="K14" s="75">
        <f>SUMIF('pow podst'!C3:C85,"N",'pow podst'!S3:S85)</f>
        <v>0</v>
      </c>
      <c r="L14" s="75">
        <f>SUMIF('pow podst'!C3:C85,"N",'pow podst'!T3:T85)</f>
        <v>0</v>
      </c>
      <c r="M14" s="75">
        <f>SUMIF('pow podst'!C3:C85,"N",'pow podst'!U3:U85)</f>
        <v>0</v>
      </c>
      <c r="N14" s="75">
        <f>SUMIF('pow podst'!C3:C85,"N",'pow podst'!V3:V85)</f>
        <v>0</v>
      </c>
      <c r="O14" s="79">
        <f>SUMIF('pow podst'!C3:C85,"N",'pow podst'!W3:W85)</f>
        <v>0</v>
      </c>
      <c r="P14" s="10" t="b">
        <f t="shared" si="0"/>
        <v>1</v>
      </c>
      <c r="Q14" s="29" t="b">
        <f t="shared" si="1"/>
        <v>1</v>
      </c>
      <c r="R14" s="11"/>
      <c r="S14" s="11"/>
      <c r="T14" s="12"/>
      <c r="U14" s="12"/>
      <c r="V14" s="13"/>
      <c r="W14" s="6"/>
      <c r="X14" s="6"/>
    </row>
    <row r="15" spans="1:24" ht="39.75" customHeight="1" thickBot="1">
      <c r="A15" s="45" t="s">
        <v>40</v>
      </c>
      <c r="B15" s="80">
        <f>_xlfn.COUNTIFS('pow podst'!K3:K85,"&gt;0",'pow podst'!C3:C85,"W")</f>
        <v>19</v>
      </c>
      <c r="C15" s="81">
        <f>SUMIF('pow podst'!C3:C85,"W",'pow podst'!J3:J85)</f>
        <v>128210383.8</v>
      </c>
      <c r="D15" s="82">
        <f>SUMIF('pow podst'!C3:C85,"W",'pow podst'!L3:L85)</f>
        <v>62363353.480000004</v>
      </c>
      <c r="E15" s="83">
        <f>SUMIF('pow podst'!C3:C85,"W",'pow podst'!K3:K85)</f>
        <v>65847030.32000001</v>
      </c>
      <c r="F15" s="84">
        <f>SUMIF('pow podst'!C3:C85,"W",'pow podst'!N3:N85)</f>
        <v>0</v>
      </c>
      <c r="G15" s="81">
        <f>SUMIF('pow podst'!C3:C85,"W",'pow podst'!O3:O85)</f>
        <v>0</v>
      </c>
      <c r="H15" s="81">
        <f>SUMIF('pow podst'!C3:C85,"W",'pow podst'!P3:P85)</f>
        <v>0</v>
      </c>
      <c r="I15" s="81">
        <f>SUMIF('pow podst'!C3:C85,"W",'pow podst'!Q3:Q85)</f>
        <v>17384487.199999996</v>
      </c>
      <c r="J15" s="81">
        <f>SUMIF('pow podst'!C3:C85,"W",'pow podst'!R3:R85)</f>
        <v>29696896.86</v>
      </c>
      <c r="K15" s="81">
        <f>SUMIF('pow podst'!C3:C85,"W",'pow podst'!S3:S85)</f>
        <v>18765646.259999998</v>
      </c>
      <c r="L15" s="81">
        <f>SUMIF('pow podst'!C3:C85,"W",'pow podst'!T3:T85)</f>
        <v>0</v>
      </c>
      <c r="M15" s="81">
        <f>SUMIF('pow podst'!C3:C85,"W",'pow podst'!U3:U85)</f>
        <v>0</v>
      </c>
      <c r="N15" s="81">
        <f>SUMIF('pow podst'!C3:C85,"W",'pow podst'!V3:V85)</f>
        <v>0</v>
      </c>
      <c r="O15" s="85">
        <f>SUMIF('pow podst'!C3:C85,"W",'pow podst'!W3:W85)</f>
        <v>0</v>
      </c>
      <c r="P15" s="10" t="b">
        <f t="shared" si="0"/>
        <v>1</v>
      </c>
      <c r="Q15" s="29" t="b">
        <f t="shared" si="1"/>
        <v>1</v>
      </c>
      <c r="R15" s="11"/>
      <c r="S15" s="11"/>
      <c r="T15" s="12"/>
      <c r="U15" s="12"/>
      <c r="V15" s="13"/>
      <c r="W15" s="6"/>
      <c r="X15" s="6"/>
    </row>
    <row r="16" spans="1:24" ht="39.75" customHeight="1" thickTop="1">
      <c r="A16" s="200" t="s">
        <v>41</v>
      </c>
      <c r="B16" s="63">
        <f>COUNTIF('gm podst'!L3:L123,"&gt;0")</f>
        <v>121</v>
      </c>
      <c r="C16" s="64">
        <f>SUM('gm podst'!K3:K123)</f>
        <v>277424492.3500001</v>
      </c>
      <c r="D16" s="65">
        <f>SUM('gm podst'!M3:M123)</f>
        <v>129626949.90400003</v>
      </c>
      <c r="E16" s="66">
        <f>SUM('gm podst'!L3:L123)</f>
        <v>147797542.44600007</v>
      </c>
      <c r="F16" s="86">
        <f>SUM('gm podst'!O3:O123)</f>
        <v>0</v>
      </c>
      <c r="G16" s="87">
        <f>SUM('gm podst'!P3:P123)</f>
        <v>11520616.060000002</v>
      </c>
      <c r="H16" s="87">
        <f>SUM('gm podst'!Q3:Q123)</f>
        <v>18963062.286000002</v>
      </c>
      <c r="I16" s="87">
        <f>SUM('gm podst'!R3:R123)</f>
        <v>83853969.12500001</v>
      </c>
      <c r="J16" s="87">
        <f>SUM('gm podst'!S3:S123)</f>
        <v>30064111.745</v>
      </c>
      <c r="K16" s="87">
        <f>SUM('gm podst'!T3:T123)</f>
        <v>3395783.23</v>
      </c>
      <c r="L16" s="87">
        <f>SUM('gm podst'!U3:U123)</f>
        <v>0</v>
      </c>
      <c r="M16" s="87">
        <f>SUM('gm podst'!V3:V123)</f>
        <v>0</v>
      </c>
      <c r="N16" s="87">
        <f>SUM('gm podst'!W3:W123)</f>
        <v>0</v>
      </c>
      <c r="O16" s="87">
        <f>SUM('gm podst'!X3:X123)</f>
        <v>0</v>
      </c>
      <c r="P16" s="10" t="b">
        <f t="shared" si="0"/>
        <v>1</v>
      </c>
      <c r="Q16" s="29" t="b">
        <f t="shared" si="1"/>
        <v>1</v>
      </c>
      <c r="R16" s="11"/>
      <c r="S16" s="11"/>
      <c r="T16" s="12"/>
      <c r="U16" s="12"/>
      <c r="V16" s="12"/>
      <c r="W16" s="12"/>
      <c r="X16" s="12"/>
    </row>
    <row r="17" spans="1:24" ht="39.75" customHeight="1">
      <c r="A17" s="43" t="s">
        <v>38</v>
      </c>
      <c r="B17" s="68">
        <f>_xlfn.COUNTIFS('gm podst'!L3:L123,"&gt;0",'gm podst'!C3:C123,"K")</f>
        <v>36</v>
      </c>
      <c r="C17" s="69">
        <f>SUMIF('gm podst'!C3:C123,"K",'gm podst'!K3:K123)</f>
        <v>101785872.13999996</v>
      </c>
      <c r="D17" s="70">
        <f>SUMIF('gm podst'!C3:C123,"K",'gm podst'!M3:M123)</f>
        <v>45919750.603999995</v>
      </c>
      <c r="E17" s="71">
        <f>SUMIF('gm podst'!C3:C123,"K",'gm podst'!L3:L123)</f>
        <v>55866121.536</v>
      </c>
      <c r="F17" s="72">
        <f>SUMIF('gm podst'!C3:C123,"K",'gm podst'!O3:O123)</f>
        <v>0</v>
      </c>
      <c r="G17" s="69">
        <f>SUMIF('gm podst'!C3:C123,"K",'gm podst'!P3:P123)</f>
        <v>11520616.060000002</v>
      </c>
      <c r="H17" s="69">
        <f>SUMIF('gm podst'!C3:C123,"K",'gm podst'!Q3:Q123)</f>
        <v>18963062.286000002</v>
      </c>
      <c r="I17" s="69">
        <f>SUMIF('gm podst'!C3:C123,"K",'gm podst'!R3:R123)</f>
        <v>18937781.819999997</v>
      </c>
      <c r="J17" s="69">
        <f>SUMIF('gm podst'!C3:C123,"K",'gm podst'!S3:S123)</f>
        <v>6202054.14</v>
      </c>
      <c r="K17" s="69">
        <f>SUMIF('gm podst'!C3:C123,"K",'gm podst'!T3:T123)</f>
        <v>242607.23</v>
      </c>
      <c r="L17" s="69">
        <f>SUMIF('gm podst'!C3:C123,"K",'gm podst'!U3:U123)</f>
        <v>0</v>
      </c>
      <c r="M17" s="69">
        <f>SUMIF('gm podst'!C3:C123,"K",'gm podst'!V3:V123)</f>
        <v>0</v>
      </c>
      <c r="N17" s="69">
        <f>SUMIF('gm podst'!C3:C123,"K",'gm podst'!W3:W123)</f>
        <v>0</v>
      </c>
      <c r="O17" s="73">
        <f>SUMIF('gm podst'!C3:C123,"K",'gm podst'!X3:X123)</f>
        <v>0</v>
      </c>
      <c r="P17" s="10" t="b">
        <f t="shared" si="0"/>
        <v>1</v>
      </c>
      <c r="Q17" s="29" t="b">
        <f t="shared" si="1"/>
        <v>1</v>
      </c>
      <c r="R17" s="11"/>
      <c r="S17" s="11"/>
      <c r="T17" s="12"/>
      <c r="U17" s="12"/>
      <c r="V17" s="12"/>
      <c r="W17" s="12"/>
      <c r="X17" s="12"/>
    </row>
    <row r="18" spans="1:24" ht="39.75" customHeight="1">
      <c r="A18" s="44" t="s">
        <v>39</v>
      </c>
      <c r="B18" s="74">
        <f>_xlfn.COUNTIFS('gm podst'!L3:L123,"&gt;0",'gm podst'!C3:C123,"N")</f>
        <v>63</v>
      </c>
      <c r="C18" s="75">
        <f>SUMIF('gm podst'!C3:C123,"N",'gm podst'!K3:K123)</f>
        <v>103713593.93999998</v>
      </c>
      <c r="D18" s="76">
        <f>SUMIF('gm podst'!C3:C123,"N",'gm podst'!M3:M123)</f>
        <v>51519628.00999998</v>
      </c>
      <c r="E18" s="77">
        <f>SUMIF('gm podst'!C3:C123,"N",'gm podst'!L3:L123)</f>
        <v>52193965.929999985</v>
      </c>
      <c r="F18" s="78">
        <f>SUMIF('gm podst'!C3:C123,"N",'gm podst'!O3:O123)</f>
        <v>0</v>
      </c>
      <c r="G18" s="75">
        <f>SUMIF('gm podst'!C3:C123,"N",'gm podst'!P3:P123)</f>
        <v>0</v>
      </c>
      <c r="H18" s="75">
        <f>SUMIF('gm podst'!C3:C123,"N",'gm podst'!Q3:Q123)</f>
        <v>0</v>
      </c>
      <c r="I18" s="75">
        <f>SUMIF('gm podst'!C3:C123,"N",'gm podst'!R3:R123)</f>
        <v>52193965.929999985</v>
      </c>
      <c r="J18" s="75">
        <f>SUMIF('gm podst'!C3:C123,"N",'gm podst'!S3:S123)</f>
        <v>0</v>
      </c>
      <c r="K18" s="75">
        <f>SUMIF('gm podst'!C3:C123,"N",'gm podst'!T3:T123)</f>
        <v>0</v>
      </c>
      <c r="L18" s="75">
        <f>SUMIF('gm podst'!C3:C123,"N",'gm podst'!U3:U123)</f>
        <v>0</v>
      </c>
      <c r="M18" s="75">
        <f>SUMIF('gm podst'!C3:C123,"N",'gm podst'!V3:V123)</f>
        <v>0</v>
      </c>
      <c r="N18" s="75">
        <f>SUMIF('gm podst'!C3:C123,"N",'gm podst'!W3:W123)</f>
        <v>0</v>
      </c>
      <c r="O18" s="79">
        <f>SUMIF('gm podst'!C3:C123,"N",'gm podst'!X3:X123)</f>
        <v>0</v>
      </c>
      <c r="P18" s="10" t="b">
        <f t="shared" si="0"/>
        <v>1</v>
      </c>
      <c r="Q18" s="29" t="b">
        <f t="shared" si="1"/>
        <v>1</v>
      </c>
      <c r="R18" s="11"/>
      <c r="S18" s="11"/>
      <c r="T18" s="12"/>
      <c r="U18" s="12"/>
      <c r="V18" s="12"/>
      <c r="W18" s="12"/>
      <c r="X18" s="12"/>
    </row>
    <row r="19" spans="1:24" ht="39.75" customHeight="1" thickBot="1">
      <c r="A19" s="45" t="s">
        <v>40</v>
      </c>
      <c r="B19" s="80">
        <f>_xlfn.COUNTIFS('gm podst'!L3:L123,"&gt;0",'gm podst'!C3:C123,"W")</f>
        <v>22</v>
      </c>
      <c r="C19" s="81">
        <f>SUMIF('gm podst'!C3:C123,"W",'gm podst'!K3:K123)</f>
        <v>71925026.27</v>
      </c>
      <c r="D19" s="82">
        <f>SUMIF('gm podst'!C3:C123,"W",'gm podst'!M3:M123)</f>
        <v>32187571.290000003</v>
      </c>
      <c r="E19" s="83">
        <f>SUMIF('gm podst'!C3:C123,"W",'gm podst'!L3:L123)</f>
        <v>39737454.98</v>
      </c>
      <c r="F19" s="84">
        <f>SUMIF('gm podst'!C3:C123,"W",'gm podst'!O3:O123)</f>
        <v>0</v>
      </c>
      <c r="G19" s="81">
        <f>SUMIF('gm podst'!C3:C123,"W",'gm podst'!P3:P123)</f>
        <v>0</v>
      </c>
      <c r="H19" s="81">
        <f>SUMIF('gm podst'!C3:C123,"W",'gm podst'!Q3:Q123)</f>
        <v>0</v>
      </c>
      <c r="I19" s="81">
        <f>SUMIF('gm podst'!C3:C123,"W",'gm podst'!R3:R123)</f>
        <v>12722221.375</v>
      </c>
      <c r="J19" s="81">
        <f>SUMIF('gm podst'!C3:C123,"W",'gm podst'!S3:S123)</f>
        <v>23862057.605</v>
      </c>
      <c r="K19" s="81">
        <f>SUMIF('gm podst'!C3:C123,"W",'gm podst'!T3:T123)</f>
        <v>3153176</v>
      </c>
      <c r="L19" s="81">
        <f>SUMIF('gm podst'!C3:C123,"W",'gm podst'!U3:U123)</f>
        <v>0</v>
      </c>
      <c r="M19" s="81">
        <f>SUMIF('gm podst'!C3:C123,"W",'gm podst'!V3:V123)</f>
        <v>0</v>
      </c>
      <c r="N19" s="81">
        <f>SUMIF('gm podst'!C3:C123,"W",'gm podst'!W3:W123)</f>
        <v>0</v>
      </c>
      <c r="O19" s="85">
        <f>SUMIF('gm podst'!C3:C123,"W",'gm podst'!X3:X123)</f>
        <v>0</v>
      </c>
      <c r="P19" s="10" t="b">
        <f t="shared" si="0"/>
        <v>1</v>
      </c>
      <c r="Q19" s="29" t="b">
        <f t="shared" si="1"/>
        <v>1</v>
      </c>
      <c r="R19" s="11"/>
      <c r="S19" s="11"/>
      <c r="T19" s="12"/>
      <c r="U19" s="12"/>
      <c r="V19" s="12"/>
      <c r="W19" s="12"/>
      <c r="X19" s="12"/>
    </row>
    <row r="20" spans="1:24" s="158" customFormat="1" ht="39.75" customHeight="1" thickTop="1">
      <c r="A20" s="151" t="s">
        <v>42</v>
      </c>
      <c r="B20" s="152">
        <f>B12+B16</f>
        <v>204</v>
      </c>
      <c r="C20" s="153">
        <f>C12+C16</f>
        <v>727099495.6000001</v>
      </c>
      <c r="D20" s="154">
        <f aca="true" t="shared" si="2" ref="C20:O22">D12+D16</f>
        <v>349108226.9340001</v>
      </c>
      <c r="E20" s="66">
        <f t="shared" si="2"/>
        <v>377991268.666</v>
      </c>
      <c r="F20" s="155">
        <f t="shared" si="2"/>
        <v>0</v>
      </c>
      <c r="G20" s="153">
        <f t="shared" si="2"/>
        <v>15966500.450000003</v>
      </c>
      <c r="H20" s="153">
        <f>H12+H16</f>
        <v>54480544.206</v>
      </c>
      <c r="I20" s="153">
        <f t="shared" si="2"/>
        <v>207023227.96500003</v>
      </c>
      <c r="J20" s="153">
        <f t="shared" si="2"/>
        <v>78359566.555</v>
      </c>
      <c r="K20" s="153">
        <f t="shared" si="2"/>
        <v>22161429.49</v>
      </c>
      <c r="L20" s="153">
        <f t="shared" si="2"/>
        <v>0</v>
      </c>
      <c r="M20" s="153">
        <f t="shared" si="2"/>
        <v>0</v>
      </c>
      <c r="N20" s="153">
        <f t="shared" si="2"/>
        <v>0</v>
      </c>
      <c r="O20" s="156">
        <f t="shared" si="2"/>
        <v>0</v>
      </c>
      <c r="P20" s="157" t="b">
        <f t="shared" si="0"/>
        <v>1</v>
      </c>
      <c r="Q20" s="29" t="b">
        <f>E20=SUM(F20:O20)</f>
        <v>1</v>
      </c>
      <c r="R20" s="14"/>
      <c r="S20" s="14"/>
      <c r="T20" s="15"/>
      <c r="U20" s="15"/>
      <c r="V20" s="15"/>
      <c r="W20" s="15"/>
      <c r="X20" s="15"/>
    </row>
    <row r="21" spans="1:24" s="16" customFormat="1" ht="39.75" customHeight="1">
      <c r="A21" s="46" t="s">
        <v>38</v>
      </c>
      <c r="B21" s="88">
        <f>B13+B17</f>
        <v>78</v>
      </c>
      <c r="C21" s="89">
        <f t="shared" si="2"/>
        <v>336673334.78999996</v>
      </c>
      <c r="D21" s="90">
        <f t="shared" si="2"/>
        <v>160330136.334</v>
      </c>
      <c r="E21" s="71">
        <f t="shared" si="2"/>
        <v>176343198.45599997</v>
      </c>
      <c r="F21" s="91">
        <f t="shared" si="2"/>
        <v>0</v>
      </c>
      <c r="G21" s="89">
        <f t="shared" si="2"/>
        <v>15966500.450000003</v>
      </c>
      <c r="H21" s="89">
        <f t="shared" si="2"/>
        <v>54480544.206</v>
      </c>
      <c r="I21" s="89">
        <f t="shared" si="2"/>
        <v>80852934.47999999</v>
      </c>
      <c r="J21" s="89">
        <f t="shared" si="2"/>
        <v>24800612.090000004</v>
      </c>
      <c r="K21" s="89">
        <f t="shared" si="2"/>
        <v>242607.23</v>
      </c>
      <c r="L21" s="89">
        <f t="shared" si="2"/>
        <v>0</v>
      </c>
      <c r="M21" s="89">
        <f t="shared" si="2"/>
        <v>0</v>
      </c>
      <c r="N21" s="89">
        <f t="shared" si="2"/>
        <v>0</v>
      </c>
      <c r="O21" s="92">
        <f t="shared" si="2"/>
        <v>0</v>
      </c>
      <c r="P21" s="10" t="b">
        <f t="shared" si="0"/>
        <v>1</v>
      </c>
      <c r="Q21" s="29" t="b">
        <f>E21=SUM(F21:O21)</f>
        <v>1</v>
      </c>
      <c r="R21" s="14"/>
      <c r="S21" s="14"/>
      <c r="T21" s="15"/>
      <c r="U21" s="15"/>
      <c r="V21" s="15"/>
      <c r="W21" s="15"/>
      <c r="X21" s="15"/>
    </row>
    <row r="22" spans="1:24" s="16" customFormat="1" ht="39.75" customHeight="1">
      <c r="A22" s="47" t="s">
        <v>39</v>
      </c>
      <c r="B22" s="93">
        <f>B14+B18</f>
        <v>85</v>
      </c>
      <c r="C22" s="94">
        <f t="shared" si="2"/>
        <v>190290750.74</v>
      </c>
      <c r="D22" s="95">
        <f t="shared" si="2"/>
        <v>94227165.82999998</v>
      </c>
      <c r="E22" s="77">
        <f t="shared" si="2"/>
        <v>96063584.90999998</v>
      </c>
      <c r="F22" s="96">
        <f t="shared" si="2"/>
        <v>0</v>
      </c>
      <c r="G22" s="94">
        <f t="shared" si="2"/>
        <v>0</v>
      </c>
      <c r="H22" s="94">
        <f t="shared" si="2"/>
        <v>0</v>
      </c>
      <c r="I22" s="94">
        <f t="shared" si="2"/>
        <v>96063584.90999998</v>
      </c>
      <c r="J22" s="94">
        <f t="shared" si="2"/>
        <v>0</v>
      </c>
      <c r="K22" s="94">
        <f t="shared" si="2"/>
        <v>0</v>
      </c>
      <c r="L22" s="94">
        <f t="shared" si="2"/>
        <v>0</v>
      </c>
      <c r="M22" s="94">
        <f t="shared" si="2"/>
        <v>0</v>
      </c>
      <c r="N22" s="94">
        <f t="shared" si="2"/>
        <v>0</v>
      </c>
      <c r="O22" s="97">
        <f t="shared" si="2"/>
        <v>0</v>
      </c>
      <c r="P22" s="10" t="b">
        <f t="shared" si="0"/>
        <v>1</v>
      </c>
      <c r="Q22" s="29" t="b">
        <f>E22=SUM(F22:O22)</f>
        <v>1</v>
      </c>
      <c r="R22" s="14"/>
      <c r="S22" s="14"/>
      <c r="T22" s="15"/>
      <c r="U22" s="15"/>
      <c r="V22" s="15"/>
      <c r="W22" s="15"/>
      <c r="X22" s="15"/>
    </row>
    <row r="23" spans="1:24" s="16" customFormat="1" ht="39.75" customHeight="1" thickBot="1">
      <c r="A23" s="48" t="s">
        <v>40</v>
      </c>
      <c r="B23" s="98">
        <f>B15+B19</f>
        <v>41</v>
      </c>
      <c r="C23" s="99">
        <f aca="true" t="shared" si="3" ref="C23:O23">C15+C19</f>
        <v>200135410.07</v>
      </c>
      <c r="D23" s="100">
        <f t="shared" si="3"/>
        <v>94550924.77000001</v>
      </c>
      <c r="E23" s="83">
        <f t="shared" si="3"/>
        <v>105584485.30000001</v>
      </c>
      <c r="F23" s="101">
        <f t="shared" si="3"/>
        <v>0</v>
      </c>
      <c r="G23" s="99">
        <f t="shared" si="3"/>
        <v>0</v>
      </c>
      <c r="H23" s="99">
        <f t="shared" si="3"/>
        <v>0</v>
      </c>
      <c r="I23" s="99">
        <f t="shared" si="3"/>
        <v>30106708.574999996</v>
      </c>
      <c r="J23" s="99">
        <f t="shared" si="3"/>
        <v>53558954.465</v>
      </c>
      <c r="K23" s="99">
        <f t="shared" si="3"/>
        <v>21918822.259999998</v>
      </c>
      <c r="L23" s="99">
        <f t="shared" si="3"/>
        <v>0</v>
      </c>
      <c r="M23" s="99">
        <f t="shared" si="3"/>
        <v>0</v>
      </c>
      <c r="N23" s="99">
        <f t="shared" si="3"/>
        <v>0</v>
      </c>
      <c r="O23" s="102">
        <f t="shared" si="3"/>
        <v>0</v>
      </c>
      <c r="P23" s="10" t="b">
        <f>C23=(D23+E23)</f>
        <v>1</v>
      </c>
      <c r="Q23" s="29" t="b">
        <f>E23=SUM(F23:O23)</f>
        <v>1</v>
      </c>
      <c r="R23" s="14"/>
      <c r="S23" s="14"/>
      <c r="T23" s="15"/>
      <c r="U23" s="15"/>
      <c r="V23" s="15"/>
      <c r="W23" s="15"/>
      <c r="X23" s="15"/>
    </row>
    <row r="24" spans="1:24" ht="39.75" customHeight="1" thickTop="1">
      <c r="A24" s="42" t="s">
        <v>2</v>
      </c>
      <c r="B24" s="63">
        <f>COUNTIF('pow rez'!K3:K66,"&gt;0")</f>
        <v>64</v>
      </c>
      <c r="C24" s="64">
        <f>SUM('pow rez'!J3:J66)</f>
        <v>223615490.75</v>
      </c>
      <c r="D24" s="65">
        <f>SUM('pow rez'!L3:L66)</f>
        <v>111058340.85000001</v>
      </c>
      <c r="E24" s="66">
        <f>SUM('pow rez'!K3:K66)</f>
        <v>112557149.89999996</v>
      </c>
      <c r="F24" s="67">
        <f>SUM('pow rez'!N3:N66)</f>
        <v>0</v>
      </c>
      <c r="G24" s="64">
        <f>SUM('pow rez'!O3:O66)</f>
        <v>0</v>
      </c>
      <c r="H24" s="103">
        <f>SUM('pow rez'!P3:P66)</f>
        <v>0</v>
      </c>
      <c r="I24" s="103">
        <f>SUM('pow rez'!Q3:Q66)</f>
        <v>73540551.22999999</v>
      </c>
      <c r="J24" s="103">
        <f>SUM('pow rez'!R3:R66)</f>
        <v>24796948.669999998</v>
      </c>
      <c r="K24" s="64">
        <f>SUM('pow rez'!S3:S66)</f>
        <v>14219650</v>
      </c>
      <c r="L24" s="64">
        <f>SUM('pow rez'!T3:T66)</f>
        <v>0</v>
      </c>
      <c r="M24" s="64">
        <f>SUM('pow rez'!U3:U66)</f>
        <v>0</v>
      </c>
      <c r="N24" s="64">
        <f>SUM('pow rez'!V3:V66)</f>
        <v>0</v>
      </c>
      <c r="O24" s="64">
        <f>SUM('pow rez'!W3:W66)</f>
        <v>0</v>
      </c>
      <c r="P24" s="10" t="b">
        <f>C24=(D24+E24)</f>
        <v>1</v>
      </c>
      <c r="Q24" s="29" t="b">
        <f>E24=SUM(F24:O24)</f>
        <v>1</v>
      </c>
      <c r="R24" s="11"/>
      <c r="S24" s="11"/>
      <c r="T24" s="12"/>
      <c r="U24" s="12"/>
      <c r="V24" s="12"/>
      <c r="W24" s="12"/>
      <c r="X24" s="12"/>
    </row>
    <row r="25" spans="1:24" ht="39.75" customHeight="1">
      <c r="A25" s="44" t="s">
        <v>39</v>
      </c>
      <c r="B25" s="74">
        <f>_xlfn.COUNTIFS('pow rez'!K3:K66,"&gt;0",'pow rez'!C3:C66,"N")</f>
        <v>43</v>
      </c>
      <c r="C25" s="75">
        <f>SUMIF('pow rez'!C3:C66,"N",'pow rez'!J3:J66)</f>
        <v>120229719.58000001</v>
      </c>
      <c r="D25" s="76">
        <f>SUMIF('pow rez'!C3:C66,"N",'pow rez'!L3:L66)</f>
        <v>60895455.26</v>
      </c>
      <c r="E25" s="77">
        <f>SUMIF('pow rez'!C3:C66,"N",'pow rez'!K3:K66)</f>
        <v>59334264.32</v>
      </c>
      <c r="F25" s="78">
        <f>SUMIF('pow rez'!C3:C66,"N",'pow rez'!N3:N66)</f>
        <v>0</v>
      </c>
      <c r="G25" s="75">
        <f>SUMIF('pow rez'!C3:C66,"N",'pow rez'!O3:O66)</f>
        <v>0</v>
      </c>
      <c r="H25" s="75">
        <f>SUMIF('pow rez'!C3:C66,"N",'pow rez'!P3:P66)</f>
        <v>0</v>
      </c>
      <c r="I25" s="75">
        <f>SUMIF('pow rez'!C3:C66,"N",'pow rez'!Q3:Q66)</f>
        <v>59334264.32</v>
      </c>
      <c r="J25" s="75">
        <f>SUMIF('pow rez'!C3:C66,"N",'pow rez'!R3:R66)</f>
        <v>0</v>
      </c>
      <c r="K25" s="75">
        <f>SUMIF('pow rez'!C3:C66,"N",'pow rez'!S3:S66)</f>
        <v>0</v>
      </c>
      <c r="L25" s="75">
        <f>SUMIF('pow rez'!C3:C66,"N",'pow rez'!T3:T66)</f>
        <v>0</v>
      </c>
      <c r="M25" s="75">
        <f>SUMIF('pow rez'!C3:C66,"N",'pow rez'!U3:U66)</f>
        <v>0</v>
      </c>
      <c r="N25" s="75">
        <f>SUMIF('pow rez'!C3:C66,"N",'pow rez'!V3:V66)</f>
        <v>0</v>
      </c>
      <c r="O25" s="79">
        <f>SUMIF('pow rez'!C3:C66,"N",'pow rez'!W3:W66)</f>
        <v>0</v>
      </c>
      <c r="P25" s="10" t="b">
        <f aca="true" t="shared" si="4" ref="P25:P35">C25=(D25+E25)</f>
        <v>1</v>
      </c>
      <c r="Q25" s="29" t="b">
        <f aca="true" t="shared" si="5" ref="Q25:Q35">E25=SUM(F25:O25)</f>
        <v>1</v>
      </c>
      <c r="R25" s="11"/>
      <c r="S25" s="11"/>
      <c r="T25" s="12"/>
      <c r="U25" s="12"/>
      <c r="V25" s="12"/>
      <c r="W25" s="12"/>
      <c r="X25" s="12"/>
    </row>
    <row r="26" spans="1:24" ht="39.75" customHeight="1" thickBot="1">
      <c r="A26" s="45" t="s">
        <v>40</v>
      </c>
      <c r="B26" s="80">
        <f>_xlfn.COUNTIFS('pow rez'!K3:K66,"&gt;0",'pow rez'!C3:C66,"W")</f>
        <v>21</v>
      </c>
      <c r="C26" s="81">
        <f>SUMIF('pow rez'!C3:C66,"W",'pow rez'!J3:J66)</f>
        <v>103385771.17</v>
      </c>
      <c r="D26" s="82">
        <f>SUMIF('pow rez'!C3:C66,"W",'pow rez'!L3:L66)</f>
        <v>50162885.589999996</v>
      </c>
      <c r="E26" s="83">
        <f>SUMIF('pow rez'!C3:C66,"W",'pow rez'!K3:K66)</f>
        <v>53222885.58</v>
      </c>
      <c r="F26" s="84">
        <f>SUMIF('pow rez'!C3:C66,"W",'pow rez'!N3:N66)</f>
        <v>0</v>
      </c>
      <c r="G26" s="81">
        <f>SUMIF('pow rez'!C3:C66,"W",'pow rez'!O3:O66)</f>
        <v>0</v>
      </c>
      <c r="H26" s="81">
        <f>SUMIF('pow rez'!C3:C66,"W",'pow rez'!P3:P66)</f>
        <v>0</v>
      </c>
      <c r="I26" s="81">
        <f>SUMIF('pow rez'!C3:C66,"W",'pow rez'!Q3:Q66)</f>
        <v>14206286.91</v>
      </c>
      <c r="J26" s="81">
        <f>SUMIF('pow rez'!C3:C66,"W",'pow rez'!R3:R66)</f>
        <v>24796948.669999998</v>
      </c>
      <c r="K26" s="81">
        <f>SUMIF('pow rez'!C3:C66,"W",'pow rez'!S3:S66)</f>
        <v>14219650</v>
      </c>
      <c r="L26" s="81">
        <f>SUMIF('pow rez'!C3:C66,"W",'pow rez'!T3:T66)</f>
        <v>0</v>
      </c>
      <c r="M26" s="81">
        <f>SUMIF('pow rez'!C3:C66,"W",'pow rez'!U3:U66)</f>
        <v>0</v>
      </c>
      <c r="N26" s="81">
        <f>SUMIF('pow rez'!C3:C66,"W",'pow rez'!V3:V66)</f>
        <v>0</v>
      </c>
      <c r="O26" s="85">
        <f>SUMIF('pow rez'!C3:C66,"W",'pow rez'!W3:W66)</f>
        <v>0</v>
      </c>
      <c r="P26" s="10" t="b">
        <f t="shared" si="4"/>
        <v>1</v>
      </c>
      <c r="Q26" s="29" t="b">
        <f t="shared" si="5"/>
        <v>1</v>
      </c>
      <c r="R26" s="11"/>
      <c r="S26" s="11"/>
      <c r="T26" s="12"/>
      <c r="U26" s="12"/>
      <c r="V26" s="12"/>
      <c r="W26" s="12"/>
      <c r="X26" s="12"/>
    </row>
    <row r="27" spans="1:24" ht="39.75" customHeight="1" thickTop="1">
      <c r="A27" s="42" t="s">
        <v>3</v>
      </c>
      <c r="B27" s="63">
        <f>COUNTIF('gm rez'!L3:L88,"&gt;0")</f>
        <v>86</v>
      </c>
      <c r="C27" s="64">
        <f>SUM('gm rez'!K3:K88)</f>
        <v>243523626.22000006</v>
      </c>
      <c r="D27" s="65">
        <f>SUM('gm rez'!M3:M88)</f>
        <v>112072953.16000001</v>
      </c>
      <c r="E27" s="66">
        <f>SUM('gm rez'!L3:L88)</f>
        <v>131450673.06000002</v>
      </c>
      <c r="F27" s="67">
        <f>SUM('gm rez'!O3:O88)</f>
        <v>0</v>
      </c>
      <c r="G27" s="64">
        <f>SUM('gm rez'!P3:P88)</f>
        <v>0</v>
      </c>
      <c r="H27" s="64">
        <f>SUM('gm rez'!Q3:Q88)</f>
        <v>0</v>
      </c>
      <c r="I27" s="64">
        <f>SUM('gm rez'!R3:R88)</f>
        <v>71001087.855</v>
      </c>
      <c r="J27" s="64">
        <f>SUM('gm rez'!S3:S88)</f>
        <v>50727151.464999996</v>
      </c>
      <c r="K27" s="64">
        <f>SUM('gm rez'!T3:T88)</f>
        <v>9722433.74</v>
      </c>
      <c r="L27" s="64">
        <f>SUM('gm rez'!U3:U88)</f>
        <v>0</v>
      </c>
      <c r="M27" s="64">
        <f>SUM('gm rez'!V3:V88)</f>
        <v>0</v>
      </c>
      <c r="N27" s="64">
        <f>SUM('gm rez'!W3:W88)</f>
        <v>0</v>
      </c>
      <c r="O27" s="104">
        <f>SUM('gm rez'!X3:X88)</f>
        <v>0</v>
      </c>
      <c r="P27" s="10" t="b">
        <f t="shared" si="4"/>
        <v>1</v>
      </c>
      <c r="Q27" s="29" t="b">
        <f t="shared" si="5"/>
        <v>1</v>
      </c>
      <c r="R27" s="17"/>
      <c r="S27" s="17"/>
      <c r="T27" s="18"/>
      <c r="U27" s="18"/>
      <c r="V27" s="13"/>
      <c r="W27" s="6"/>
      <c r="X27" s="6"/>
    </row>
    <row r="28" spans="1:24" ht="39.75" customHeight="1">
      <c r="A28" s="44" t="s">
        <v>39</v>
      </c>
      <c r="B28" s="74">
        <f>_xlfn.COUNTIFS('gm rez'!L3:L88,"&gt;0",'gm rez'!C3:C88,"N")</f>
        <v>54</v>
      </c>
      <c r="C28" s="75">
        <f>SUMIF('gm rez'!C3:C88,"N",'gm rez'!K3:K88)</f>
        <v>126127092.31999996</v>
      </c>
      <c r="D28" s="76">
        <f>SUMIF('gm rez'!C3:C88,"N",'gm rez'!M3:M88)</f>
        <v>57647659.31000001</v>
      </c>
      <c r="E28" s="77">
        <f>SUMIF('gm rez'!C3:C88,"N",'gm rez'!L3:L88)</f>
        <v>68479433.01</v>
      </c>
      <c r="F28" s="78">
        <f>SUMIF('gm rez'!C3:C88,"N",'gm rez'!O3:O88)</f>
        <v>0</v>
      </c>
      <c r="G28" s="75">
        <f>SUMIF('gm rez'!C3:C88,"N",'gm rez'!P3:P88)</f>
        <v>0</v>
      </c>
      <c r="H28" s="75">
        <f>SUMIF('gm rez'!C3:C88,"N",'gm rez'!Q3:Q88)</f>
        <v>0</v>
      </c>
      <c r="I28" s="75">
        <f>SUMIF('gm rez'!C3:C88,"N",'gm rez'!R3:R88)</f>
        <v>59578855.58</v>
      </c>
      <c r="J28" s="75">
        <f>SUMIF('gm rez'!C3:C88,"N",'gm rez'!S3:S88)</f>
        <v>8900577.43</v>
      </c>
      <c r="K28" s="75">
        <f>SUMIF('gm rez'!C3:C88,"N",'gm rez'!T3:T88)</f>
        <v>0</v>
      </c>
      <c r="L28" s="75">
        <f>SUMIF('gm rez'!C3:C88,"N",'gm rez'!U3:U88)</f>
        <v>0</v>
      </c>
      <c r="M28" s="75">
        <f>SUMIF('gm rez'!C3:C88,"N",'gm rez'!V3:V88)</f>
        <v>0</v>
      </c>
      <c r="N28" s="75">
        <f>SUMIF('gm rez'!C3:C88,"N",'gm rez'!W3:W88)</f>
        <v>0</v>
      </c>
      <c r="O28" s="79">
        <f>SUMIF('gm rez'!C3:C88,"N",'gm rez'!X3:X88)</f>
        <v>0</v>
      </c>
      <c r="P28" s="10" t="b">
        <f t="shared" si="4"/>
        <v>1</v>
      </c>
      <c r="Q28" s="29" t="b">
        <f t="shared" si="5"/>
        <v>1</v>
      </c>
      <c r="R28" s="17"/>
      <c r="S28" s="17"/>
      <c r="T28" s="18"/>
      <c r="U28" s="18"/>
      <c r="V28" s="13"/>
      <c r="W28" s="6"/>
      <c r="X28" s="6"/>
    </row>
    <row r="29" spans="1:24" ht="39.75" customHeight="1" thickBot="1">
      <c r="A29" s="45" t="s">
        <v>40</v>
      </c>
      <c r="B29" s="80">
        <f>_xlfn.COUNTIFS('gm rez'!L3:L88,"&gt;0",'gm rez'!C3:C88,"W")</f>
        <v>32</v>
      </c>
      <c r="C29" s="81">
        <f>SUMIF('gm rez'!C3:C88,"W",'gm rez'!K3:K88)</f>
        <v>117396533.90000002</v>
      </c>
      <c r="D29" s="82">
        <f>SUMIF('gm rez'!C3:C88,"W",'gm rez'!M3:M88)</f>
        <v>54425293.85000001</v>
      </c>
      <c r="E29" s="83">
        <f>SUMIF('gm rez'!C3:C88,"W",'gm rez'!L3:L88)</f>
        <v>62971240.050000004</v>
      </c>
      <c r="F29" s="84">
        <f>SUMIF('gm rez'!C3:C88,"W",'gm rez'!O3:O88)</f>
        <v>0</v>
      </c>
      <c r="G29" s="81">
        <f>SUMIF('gm rez'!C3:C88,"W",'gm rez'!P3:P88)</f>
        <v>0</v>
      </c>
      <c r="H29" s="81">
        <f>SUMIF('gm rez'!C3:C88,"W",'gm rez'!Q3:Q88)</f>
        <v>0</v>
      </c>
      <c r="I29" s="81">
        <f>SUMIF('gm rez'!C3:C88,"W",'gm rez'!R3:R88)</f>
        <v>11422232.275</v>
      </c>
      <c r="J29" s="81">
        <f>SUMIF('gm rez'!C3:C88,"W",'gm rez'!S3:S88)</f>
        <v>41826574.035000004</v>
      </c>
      <c r="K29" s="81">
        <f>SUMIF('gm rez'!C3:C88,"W",'gm rez'!T3:T88)</f>
        <v>9722433.74</v>
      </c>
      <c r="L29" s="81">
        <f>SUMIF('gm rez'!C3:C88,"W",'gm rez'!U3:U88)</f>
        <v>0</v>
      </c>
      <c r="M29" s="81">
        <f>SUMIF('gm rez'!C3:C88,"W",'gm rez'!V3:V88)</f>
        <v>0</v>
      </c>
      <c r="N29" s="81">
        <f>SUMIF('gm rez'!C3:C88,"W",'gm rez'!W3:W88)</f>
        <v>0</v>
      </c>
      <c r="O29" s="85">
        <f>SUMIF('gm rez'!C3:C88,"W",'gm rez'!X3:X88)</f>
        <v>0</v>
      </c>
      <c r="P29" s="10" t="b">
        <f t="shared" si="4"/>
        <v>1</v>
      </c>
      <c r="Q29" s="29" t="b">
        <f t="shared" si="5"/>
        <v>1</v>
      </c>
      <c r="R29" s="17"/>
      <c r="S29" s="17"/>
      <c r="T29" s="18"/>
      <c r="U29" s="18"/>
      <c r="V29" s="13"/>
      <c r="W29" s="6"/>
      <c r="X29" s="6"/>
    </row>
    <row r="30" spans="1:21" ht="39.75" customHeight="1" thickTop="1">
      <c r="A30" s="49" t="s">
        <v>23</v>
      </c>
      <c r="B30" s="105">
        <f>B24+B27</f>
        <v>150</v>
      </c>
      <c r="C30" s="106">
        <f aca="true" t="shared" si="6" ref="C30:O30">C24+C27</f>
        <v>467139116.97</v>
      </c>
      <c r="D30" s="107">
        <f t="shared" si="6"/>
        <v>223131294.01000002</v>
      </c>
      <c r="E30" s="108">
        <f t="shared" si="6"/>
        <v>244007822.95999998</v>
      </c>
      <c r="F30" s="109">
        <f t="shared" si="6"/>
        <v>0</v>
      </c>
      <c r="G30" s="106">
        <f t="shared" si="6"/>
        <v>0</v>
      </c>
      <c r="H30" s="106">
        <f t="shared" si="6"/>
        <v>0</v>
      </c>
      <c r="I30" s="106">
        <f t="shared" si="6"/>
        <v>144541639.08499998</v>
      </c>
      <c r="J30" s="106">
        <f t="shared" si="6"/>
        <v>75524100.13499999</v>
      </c>
      <c r="K30" s="106">
        <f t="shared" si="6"/>
        <v>23942083.740000002</v>
      </c>
      <c r="L30" s="106">
        <f t="shared" si="6"/>
        <v>0</v>
      </c>
      <c r="M30" s="106">
        <f t="shared" si="6"/>
        <v>0</v>
      </c>
      <c r="N30" s="106">
        <f t="shared" si="6"/>
        <v>0</v>
      </c>
      <c r="O30" s="110">
        <f t="shared" si="6"/>
        <v>0</v>
      </c>
      <c r="P30" s="10" t="b">
        <f t="shared" si="4"/>
        <v>1</v>
      </c>
      <c r="Q30" s="29" t="b">
        <f t="shared" si="5"/>
        <v>1</v>
      </c>
      <c r="R30" s="19"/>
      <c r="S30" s="19"/>
      <c r="T30" s="2"/>
      <c r="U30" s="2"/>
    </row>
    <row r="31" spans="1:21" ht="39.75" customHeight="1">
      <c r="A31" s="38" t="s">
        <v>39</v>
      </c>
      <c r="B31" s="111">
        <f aca="true" t="shared" si="7" ref="B31:O31">B25+B28</f>
        <v>97</v>
      </c>
      <c r="C31" s="112">
        <f t="shared" si="7"/>
        <v>246356811.89999998</v>
      </c>
      <c r="D31" s="113">
        <f t="shared" si="7"/>
        <v>118543114.57000001</v>
      </c>
      <c r="E31" s="77">
        <f t="shared" si="7"/>
        <v>127813697.33000001</v>
      </c>
      <c r="F31" s="114">
        <f t="shared" si="7"/>
        <v>0</v>
      </c>
      <c r="G31" s="112">
        <f t="shared" si="7"/>
        <v>0</v>
      </c>
      <c r="H31" s="112">
        <f t="shared" si="7"/>
        <v>0</v>
      </c>
      <c r="I31" s="112">
        <f t="shared" si="7"/>
        <v>118913119.9</v>
      </c>
      <c r="J31" s="112">
        <f t="shared" si="7"/>
        <v>8900577.43</v>
      </c>
      <c r="K31" s="112">
        <f t="shared" si="7"/>
        <v>0</v>
      </c>
      <c r="L31" s="112">
        <f t="shared" si="7"/>
        <v>0</v>
      </c>
      <c r="M31" s="112">
        <f t="shared" si="7"/>
        <v>0</v>
      </c>
      <c r="N31" s="112">
        <f t="shared" si="7"/>
        <v>0</v>
      </c>
      <c r="O31" s="115">
        <f t="shared" si="7"/>
        <v>0</v>
      </c>
      <c r="P31" s="10" t="b">
        <f t="shared" si="4"/>
        <v>1</v>
      </c>
      <c r="Q31" s="29" t="b">
        <f t="shared" si="5"/>
        <v>1</v>
      </c>
      <c r="R31" s="19"/>
      <c r="S31" s="19"/>
      <c r="T31" s="2"/>
      <c r="U31" s="2"/>
    </row>
    <row r="32" spans="1:21" ht="39.75" customHeight="1" thickBot="1">
      <c r="A32" s="50" t="s">
        <v>40</v>
      </c>
      <c r="B32" s="116">
        <f aca="true" t="shared" si="8" ref="B32:O32">B26+B29</f>
        <v>53</v>
      </c>
      <c r="C32" s="117">
        <f t="shared" si="8"/>
        <v>220782305.07000002</v>
      </c>
      <c r="D32" s="118">
        <f t="shared" si="8"/>
        <v>104588179.44</v>
      </c>
      <c r="E32" s="119">
        <f t="shared" si="8"/>
        <v>116194125.63</v>
      </c>
      <c r="F32" s="120">
        <f t="shared" si="8"/>
        <v>0</v>
      </c>
      <c r="G32" s="117">
        <f t="shared" si="8"/>
        <v>0</v>
      </c>
      <c r="H32" s="117">
        <f t="shared" si="8"/>
        <v>0</v>
      </c>
      <c r="I32" s="117">
        <f t="shared" si="8"/>
        <v>25628519.185000002</v>
      </c>
      <c r="J32" s="117">
        <f t="shared" si="8"/>
        <v>66623522.705</v>
      </c>
      <c r="K32" s="117">
        <f t="shared" si="8"/>
        <v>23942083.740000002</v>
      </c>
      <c r="L32" s="117">
        <f t="shared" si="8"/>
        <v>0</v>
      </c>
      <c r="M32" s="117">
        <f t="shared" si="8"/>
        <v>0</v>
      </c>
      <c r="N32" s="117">
        <f t="shared" si="8"/>
        <v>0</v>
      </c>
      <c r="O32" s="121">
        <f t="shared" si="8"/>
        <v>0</v>
      </c>
      <c r="P32" s="10" t="b">
        <f t="shared" si="4"/>
        <v>1</v>
      </c>
      <c r="Q32" s="29" t="b">
        <f t="shared" si="5"/>
        <v>1</v>
      </c>
      <c r="R32" s="19"/>
      <c r="S32" s="19"/>
      <c r="T32" s="2"/>
      <c r="U32" s="2"/>
    </row>
    <row r="33" spans="1:21" ht="39.75" customHeight="1" thickTop="1">
      <c r="A33" s="51" t="s">
        <v>34</v>
      </c>
      <c r="B33" s="122">
        <f>B20+B30</f>
        <v>354</v>
      </c>
      <c r="C33" s="123">
        <f aca="true" t="shared" si="9" ref="C33:O33">C20+C30</f>
        <v>1194238612.5700002</v>
      </c>
      <c r="D33" s="124">
        <f t="shared" si="9"/>
        <v>572239520.9440001</v>
      </c>
      <c r="E33" s="125">
        <f t="shared" si="9"/>
        <v>621999091.6259999</v>
      </c>
      <c r="F33" s="126">
        <f t="shared" si="9"/>
        <v>0</v>
      </c>
      <c r="G33" s="123">
        <f t="shared" si="9"/>
        <v>15966500.450000003</v>
      </c>
      <c r="H33" s="123">
        <f t="shared" si="9"/>
        <v>54480544.206</v>
      </c>
      <c r="I33" s="123">
        <f t="shared" si="9"/>
        <v>351564867.05</v>
      </c>
      <c r="J33" s="123">
        <f t="shared" si="9"/>
        <v>153883666.69</v>
      </c>
      <c r="K33" s="123">
        <f t="shared" si="9"/>
        <v>46103513.230000004</v>
      </c>
      <c r="L33" s="123">
        <f t="shared" si="9"/>
        <v>0</v>
      </c>
      <c r="M33" s="123">
        <f t="shared" si="9"/>
        <v>0</v>
      </c>
      <c r="N33" s="123">
        <f t="shared" si="9"/>
        <v>0</v>
      </c>
      <c r="O33" s="127">
        <f t="shared" si="9"/>
        <v>0</v>
      </c>
      <c r="P33" s="10" t="b">
        <f t="shared" si="4"/>
        <v>1</v>
      </c>
      <c r="Q33" s="29" t="b">
        <f t="shared" si="5"/>
        <v>1</v>
      </c>
      <c r="R33" s="19"/>
      <c r="S33" s="19"/>
      <c r="T33" s="2"/>
      <c r="U33" s="2"/>
    </row>
    <row r="34" spans="1:21" ht="39.75" customHeight="1">
      <c r="A34" s="52" t="s">
        <v>39</v>
      </c>
      <c r="B34" s="128">
        <f>B22+B31</f>
        <v>182</v>
      </c>
      <c r="C34" s="129">
        <f aca="true" t="shared" si="10" ref="C34:O34">C22+C31</f>
        <v>436647562.64</v>
      </c>
      <c r="D34" s="130">
        <f t="shared" si="10"/>
        <v>212770280.39999998</v>
      </c>
      <c r="E34" s="131">
        <f t="shared" si="10"/>
        <v>223877282.24</v>
      </c>
      <c r="F34" s="132">
        <f t="shared" si="10"/>
        <v>0</v>
      </c>
      <c r="G34" s="129">
        <f t="shared" si="10"/>
        <v>0</v>
      </c>
      <c r="H34" s="129">
        <f t="shared" si="10"/>
        <v>0</v>
      </c>
      <c r="I34" s="129">
        <f t="shared" si="10"/>
        <v>214976704.81</v>
      </c>
      <c r="J34" s="129">
        <f t="shared" si="10"/>
        <v>8900577.43</v>
      </c>
      <c r="K34" s="129">
        <f t="shared" si="10"/>
        <v>0</v>
      </c>
      <c r="L34" s="129">
        <f t="shared" si="10"/>
        <v>0</v>
      </c>
      <c r="M34" s="129">
        <f t="shared" si="10"/>
        <v>0</v>
      </c>
      <c r="N34" s="129">
        <f t="shared" si="10"/>
        <v>0</v>
      </c>
      <c r="O34" s="133">
        <f t="shared" si="10"/>
        <v>0</v>
      </c>
      <c r="P34" s="10" t="b">
        <f t="shared" si="4"/>
        <v>1</v>
      </c>
      <c r="Q34" s="29" t="b">
        <f t="shared" si="5"/>
        <v>1</v>
      </c>
      <c r="R34" s="19"/>
      <c r="S34" s="19"/>
      <c r="T34" s="2"/>
      <c r="U34" s="2"/>
    </row>
    <row r="35" spans="1:21" ht="39.75" customHeight="1" thickBot="1">
      <c r="A35" s="53" t="s">
        <v>40</v>
      </c>
      <c r="B35" s="134">
        <f>B23+B32</f>
        <v>94</v>
      </c>
      <c r="C35" s="135">
        <f aca="true" t="shared" si="11" ref="C35:O35">C23+C32</f>
        <v>420917715.14</v>
      </c>
      <c r="D35" s="136">
        <f t="shared" si="11"/>
        <v>199139104.21</v>
      </c>
      <c r="E35" s="83">
        <f t="shared" si="11"/>
        <v>221778610.93</v>
      </c>
      <c r="F35" s="137">
        <f t="shared" si="11"/>
        <v>0</v>
      </c>
      <c r="G35" s="135">
        <f t="shared" si="11"/>
        <v>0</v>
      </c>
      <c r="H35" s="135">
        <f t="shared" si="11"/>
        <v>0</v>
      </c>
      <c r="I35" s="135">
        <f t="shared" si="11"/>
        <v>55735227.76</v>
      </c>
      <c r="J35" s="135">
        <f t="shared" si="11"/>
        <v>120182477.17</v>
      </c>
      <c r="K35" s="135">
        <f t="shared" si="11"/>
        <v>45860906</v>
      </c>
      <c r="L35" s="135">
        <f t="shared" si="11"/>
        <v>0</v>
      </c>
      <c r="M35" s="135">
        <f t="shared" si="11"/>
        <v>0</v>
      </c>
      <c r="N35" s="135">
        <f t="shared" si="11"/>
        <v>0</v>
      </c>
      <c r="O35" s="138">
        <f t="shared" si="11"/>
        <v>0</v>
      </c>
      <c r="P35" s="10" t="b">
        <f t="shared" si="4"/>
        <v>1</v>
      </c>
      <c r="Q35" s="29" t="b">
        <f t="shared" si="5"/>
        <v>1</v>
      </c>
      <c r="R35" s="19"/>
      <c r="S35" s="19"/>
      <c r="T35" s="2"/>
      <c r="U35" s="2"/>
    </row>
    <row r="36" spans="1:21" ht="15.75" thickTop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19"/>
      <c r="S36" s="19"/>
      <c r="T36" s="2"/>
      <c r="U36" s="2"/>
    </row>
    <row r="37" spans="1:21" ht="1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19"/>
      <c r="S37" s="19"/>
      <c r="T37" s="2"/>
      <c r="U37" s="2"/>
    </row>
    <row r="38" spans="1:21" ht="1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19"/>
      <c r="S38" s="19"/>
      <c r="T38" s="2"/>
      <c r="U38" s="2"/>
    </row>
    <row r="39" spans="1:21" ht="1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19"/>
      <c r="S39" s="19"/>
      <c r="T39" s="2"/>
      <c r="U39" s="2"/>
    </row>
    <row r="40" spans="1:21" ht="1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"/>
      <c r="S40" s="2"/>
      <c r="T40" s="2"/>
      <c r="U40" s="2"/>
    </row>
    <row r="41" spans="1:21" ht="1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"/>
      <c r="S41" s="2"/>
      <c r="T41" s="2"/>
      <c r="U41" s="2"/>
    </row>
    <row r="42" spans="1:21" ht="1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"/>
      <c r="S42" s="2"/>
      <c r="T42" s="2"/>
      <c r="U42" s="2"/>
    </row>
  </sheetData>
  <sheetProtection/>
  <mergeCells count="8">
    <mergeCell ref="F2:N6"/>
    <mergeCell ref="F7:N7"/>
    <mergeCell ref="A10:A11"/>
    <mergeCell ref="B10:B11"/>
    <mergeCell ref="C10:C11"/>
    <mergeCell ref="D10:D11"/>
    <mergeCell ref="E10:E11"/>
    <mergeCell ref="F10:O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5" r:id="rId1"/>
  <headerFooter>
    <oddHeader>&amp;LWojewództwo podlaskie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2"/>
  <sheetViews>
    <sheetView showGridLines="0" view="pageBreakPreview" zoomScaleNormal="70" zoomScaleSheetLayoutView="100" zoomScalePageLayoutView="0" workbookViewId="0" topLeftCell="A72">
      <selection activeCell="A86" sqref="A86:G86"/>
    </sheetView>
  </sheetViews>
  <sheetFormatPr defaultColWidth="9.140625" defaultRowHeight="15"/>
  <cols>
    <col min="1" max="1" width="6.140625" style="3" customWidth="1"/>
    <col min="2" max="2" width="7.140625" style="3" customWidth="1"/>
    <col min="3" max="3" width="16.140625" style="3" customWidth="1"/>
    <col min="4" max="4" width="19.140625" style="3" customWidth="1"/>
    <col min="5" max="5" width="9.7109375" style="3" customWidth="1"/>
    <col min="6" max="6" width="65.7109375" style="3" customWidth="1"/>
    <col min="7" max="7" width="8.8515625" style="3" customWidth="1"/>
    <col min="8" max="8" width="13.00390625" style="3" customWidth="1"/>
    <col min="9" max="9" width="13.7109375" style="3" customWidth="1"/>
    <col min="10" max="10" width="15.7109375" style="241" customWidth="1"/>
    <col min="11" max="12" width="15.7109375" style="238" customWidth="1"/>
    <col min="13" max="13" width="15.7109375" style="1" customWidth="1"/>
    <col min="14" max="15" width="15.7109375" style="238" customWidth="1"/>
    <col min="16" max="16" width="17.8515625" style="238" customWidth="1"/>
    <col min="17" max="19" width="15.7109375" style="238" customWidth="1"/>
    <col min="20" max="20" width="11.421875" style="238" customWidth="1"/>
    <col min="21" max="21" width="11.7109375" style="238" customWidth="1"/>
    <col min="22" max="22" width="11.140625" style="238" customWidth="1"/>
    <col min="23" max="23" width="12.421875" style="238" customWidth="1"/>
    <col min="24" max="24" width="16.8515625" style="30" customWidth="1"/>
    <col min="25" max="26" width="15.7109375" style="1" customWidth="1"/>
    <col min="27" max="27" width="15.7109375" style="30" customWidth="1"/>
    <col min="28" max="16384" width="9.140625" style="3" customWidth="1"/>
  </cols>
  <sheetData>
    <row r="1" spans="1:27" ht="27" customHeight="1">
      <c r="A1" s="316" t="s">
        <v>4</v>
      </c>
      <c r="B1" s="316" t="s">
        <v>5</v>
      </c>
      <c r="C1" s="316" t="s">
        <v>64</v>
      </c>
      <c r="D1" s="316" t="s">
        <v>6</v>
      </c>
      <c r="E1" s="316" t="s">
        <v>33</v>
      </c>
      <c r="F1" s="316" t="s">
        <v>7</v>
      </c>
      <c r="G1" s="316" t="s">
        <v>27</v>
      </c>
      <c r="H1" s="316" t="s">
        <v>214</v>
      </c>
      <c r="I1" s="316" t="s">
        <v>24</v>
      </c>
      <c r="J1" s="316" t="s">
        <v>9</v>
      </c>
      <c r="K1" s="316" t="s">
        <v>16</v>
      </c>
      <c r="L1" s="316" t="s">
        <v>13</v>
      </c>
      <c r="M1" s="316" t="s">
        <v>11</v>
      </c>
      <c r="N1" s="317" t="s">
        <v>12</v>
      </c>
      <c r="O1" s="317"/>
      <c r="P1" s="317"/>
      <c r="Q1" s="317"/>
      <c r="R1" s="317"/>
      <c r="S1" s="317"/>
      <c r="T1" s="317"/>
      <c r="U1" s="317"/>
      <c r="V1" s="317"/>
      <c r="W1" s="317"/>
      <c r="X1" s="144"/>
      <c r="Y1" s="144"/>
      <c r="Z1" s="144"/>
      <c r="AA1" s="198"/>
    </row>
    <row r="2" spans="1:27" ht="27.7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280">
        <v>2019</v>
      </c>
      <c r="O2" s="280">
        <v>2020</v>
      </c>
      <c r="P2" s="280">
        <v>2021</v>
      </c>
      <c r="Q2" s="280">
        <v>2022</v>
      </c>
      <c r="R2" s="280">
        <v>2023</v>
      </c>
      <c r="S2" s="280">
        <v>2024</v>
      </c>
      <c r="T2" s="280">
        <v>2025</v>
      </c>
      <c r="U2" s="280">
        <v>2026</v>
      </c>
      <c r="V2" s="280">
        <v>2027</v>
      </c>
      <c r="W2" s="280">
        <v>2028</v>
      </c>
      <c r="X2" s="144" t="s">
        <v>29</v>
      </c>
      <c r="Y2" s="144" t="s">
        <v>30</v>
      </c>
      <c r="Z2" s="144" t="s">
        <v>31</v>
      </c>
      <c r="AA2" s="31" t="s">
        <v>32</v>
      </c>
    </row>
    <row r="3" spans="1:27" s="54" customFormat="1" ht="36.75" customHeight="1">
      <c r="A3" s="220">
        <v>1</v>
      </c>
      <c r="B3" s="220">
        <v>70</v>
      </c>
      <c r="C3" s="220" t="s">
        <v>46</v>
      </c>
      <c r="D3" s="220" t="s">
        <v>679</v>
      </c>
      <c r="E3" s="220">
        <v>2062011</v>
      </c>
      <c r="F3" s="221" t="s">
        <v>67</v>
      </c>
      <c r="G3" s="184" t="s">
        <v>49</v>
      </c>
      <c r="H3" s="222">
        <v>1.75301</v>
      </c>
      <c r="I3" s="223" t="s">
        <v>226</v>
      </c>
      <c r="J3" s="37">
        <v>12571473.97</v>
      </c>
      <c r="K3" s="173">
        <v>8800031.77</v>
      </c>
      <c r="L3" s="37">
        <v>3771442.200000001</v>
      </c>
      <c r="M3" s="182">
        <v>0.7</v>
      </c>
      <c r="N3" s="175">
        <v>0</v>
      </c>
      <c r="O3" s="176">
        <v>3562171.74</v>
      </c>
      <c r="P3" s="176">
        <v>4135854.84</v>
      </c>
      <c r="Q3" s="175">
        <v>1102005.19</v>
      </c>
      <c r="R3" s="176"/>
      <c r="S3" s="176"/>
      <c r="T3" s="176"/>
      <c r="U3" s="176"/>
      <c r="V3" s="176"/>
      <c r="W3" s="176"/>
      <c r="X3" s="144" t="b">
        <f aca="true" t="shared" si="0" ref="X3:X27">K3=SUM(N3:W3)</f>
        <v>1</v>
      </c>
      <c r="Y3" s="215">
        <f aca="true" t="shared" si="1" ref="Y3:Y27">ROUND(K3/J3,4)</f>
        <v>0.7</v>
      </c>
      <c r="Z3" s="216" t="b">
        <f aca="true" t="shared" si="2" ref="Z3:Z27">Y3=M3</f>
        <v>1</v>
      </c>
      <c r="AA3" s="216" t="b">
        <f aca="true" t="shared" si="3" ref="AA3:AA27">J3=K3+L3</f>
        <v>1</v>
      </c>
    </row>
    <row r="4" spans="1:27" s="54" customFormat="1" ht="36.75" customHeight="1">
      <c r="A4" s="220">
        <v>2</v>
      </c>
      <c r="B4" s="220">
        <v>33</v>
      </c>
      <c r="C4" s="220" t="s">
        <v>46</v>
      </c>
      <c r="D4" s="220" t="s">
        <v>706</v>
      </c>
      <c r="E4" s="220">
        <v>2013</v>
      </c>
      <c r="F4" s="221" t="s">
        <v>69</v>
      </c>
      <c r="G4" s="184" t="s">
        <v>50</v>
      </c>
      <c r="H4" s="222">
        <v>2.98</v>
      </c>
      <c r="I4" s="220" t="s">
        <v>70</v>
      </c>
      <c r="J4" s="37">
        <v>3082446.88</v>
      </c>
      <c r="K4" s="173">
        <v>1541223.44</v>
      </c>
      <c r="L4" s="37">
        <v>1541223.44</v>
      </c>
      <c r="M4" s="183">
        <v>0.5</v>
      </c>
      <c r="N4" s="175">
        <v>0</v>
      </c>
      <c r="O4" s="176">
        <v>7252.86</v>
      </c>
      <c r="P4" s="176">
        <v>107141.89</v>
      </c>
      <c r="Q4" s="175">
        <v>1426828.69</v>
      </c>
      <c r="R4" s="176"/>
      <c r="S4" s="176"/>
      <c r="T4" s="176"/>
      <c r="U4" s="176"/>
      <c r="V4" s="176"/>
      <c r="W4" s="176"/>
      <c r="X4" s="144" t="b">
        <f t="shared" si="0"/>
        <v>1</v>
      </c>
      <c r="Y4" s="215">
        <f t="shared" si="1"/>
        <v>0.5</v>
      </c>
      <c r="Z4" s="216" t="b">
        <f t="shared" si="2"/>
        <v>1</v>
      </c>
      <c r="AA4" s="216" t="b">
        <f t="shared" si="3"/>
        <v>1</v>
      </c>
    </row>
    <row r="5" spans="1:27" s="54" customFormat="1" ht="36.75" customHeight="1">
      <c r="A5" s="220">
        <v>3</v>
      </c>
      <c r="B5" s="220">
        <v>34</v>
      </c>
      <c r="C5" s="220" t="s">
        <v>46</v>
      </c>
      <c r="D5" s="220" t="s">
        <v>706</v>
      </c>
      <c r="E5" s="220">
        <v>2013</v>
      </c>
      <c r="F5" s="221" t="s">
        <v>71</v>
      </c>
      <c r="G5" s="184" t="s">
        <v>50</v>
      </c>
      <c r="H5" s="222">
        <v>2.4972</v>
      </c>
      <c r="I5" s="220" t="s">
        <v>70</v>
      </c>
      <c r="J5" s="37">
        <v>2274289</v>
      </c>
      <c r="K5" s="173">
        <v>1137144.5</v>
      </c>
      <c r="L5" s="37">
        <v>1137144.5</v>
      </c>
      <c r="M5" s="183">
        <v>0.5</v>
      </c>
      <c r="N5" s="175">
        <v>0</v>
      </c>
      <c r="O5" s="176">
        <v>13392.1</v>
      </c>
      <c r="P5" s="176">
        <v>83126.74</v>
      </c>
      <c r="Q5" s="175">
        <v>1040625.66</v>
      </c>
      <c r="R5" s="176"/>
      <c r="S5" s="176"/>
      <c r="T5" s="176"/>
      <c r="U5" s="176"/>
      <c r="V5" s="176"/>
      <c r="W5" s="176"/>
      <c r="X5" s="144" t="b">
        <f t="shared" si="0"/>
        <v>1</v>
      </c>
      <c r="Y5" s="215">
        <f t="shared" si="1"/>
        <v>0.5</v>
      </c>
      <c r="Z5" s="216" t="b">
        <f t="shared" si="2"/>
        <v>1</v>
      </c>
      <c r="AA5" s="216" t="b">
        <f t="shared" si="3"/>
        <v>1</v>
      </c>
    </row>
    <row r="6" spans="1:27" s="54" customFormat="1" ht="36.75" customHeight="1">
      <c r="A6" s="220">
        <v>4</v>
      </c>
      <c r="B6" s="220">
        <v>152</v>
      </c>
      <c r="C6" s="220" t="s">
        <v>46</v>
      </c>
      <c r="D6" s="220" t="s">
        <v>707</v>
      </c>
      <c r="E6" s="220">
        <v>2003</v>
      </c>
      <c r="F6" s="221" t="s">
        <v>73</v>
      </c>
      <c r="G6" s="184" t="s">
        <v>50</v>
      </c>
      <c r="H6" s="222">
        <v>4.6365</v>
      </c>
      <c r="I6" s="220" t="s">
        <v>72</v>
      </c>
      <c r="J6" s="37">
        <v>5134385.07</v>
      </c>
      <c r="K6" s="37">
        <v>2567192.53</v>
      </c>
      <c r="L6" s="37">
        <v>2567192.5400000005</v>
      </c>
      <c r="M6" s="183">
        <v>0.5</v>
      </c>
      <c r="N6" s="175">
        <v>0</v>
      </c>
      <c r="O6" s="176">
        <v>628923.38</v>
      </c>
      <c r="P6" s="176">
        <v>1589565.93</v>
      </c>
      <c r="Q6" s="176">
        <v>348703.22</v>
      </c>
      <c r="R6" s="176"/>
      <c r="S6" s="176"/>
      <c r="T6" s="176"/>
      <c r="U6" s="176"/>
      <c r="V6" s="176"/>
      <c r="W6" s="176"/>
      <c r="X6" s="144" t="b">
        <f t="shared" si="0"/>
        <v>1</v>
      </c>
      <c r="Y6" s="215">
        <f t="shared" si="1"/>
        <v>0.5</v>
      </c>
      <c r="Z6" s="216" t="b">
        <f t="shared" si="2"/>
        <v>1</v>
      </c>
      <c r="AA6" s="216" t="b">
        <f t="shared" si="3"/>
        <v>1</v>
      </c>
    </row>
    <row r="7" spans="1:27" s="54" customFormat="1" ht="36.75" customHeight="1">
      <c r="A7" s="220">
        <v>5</v>
      </c>
      <c r="B7" s="220">
        <v>32</v>
      </c>
      <c r="C7" s="220" t="s">
        <v>46</v>
      </c>
      <c r="D7" s="220" t="s">
        <v>706</v>
      </c>
      <c r="E7" s="220">
        <v>2013</v>
      </c>
      <c r="F7" s="221" t="s">
        <v>74</v>
      </c>
      <c r="G7" s="184" t="s">
        <v>50</v>
      </c>
      <c r="H7" s="222">
        <v>4.784</v>
      </c>
      <c r="I7" s="220" t="s">
        <v>70</v>
      </c>
      <c r="J7" s="37">
        <v>6791451.83</v>
      </c>
      <c r="K7" s="173">
        <v>3395725.91</v>
      </c>
      <c r="L7" s="37">
        <v>3395725.92</v>
      </c>
      <c r="M7" s="183">
        <v>0.5</v>
      </c>
      <c r="N7" s="175">
        <v>0</v>
      </c>
      <c r="O7" s="176">
        <v>234144.31</v>
      </c>
      <c r="P7" s="176">
        <v>1321826.61</v>
      </c>
      <c r="Q7" s="175">
        <v>1839754.99</v>
      </c>
      <c r="R7" s="176"/>
      <c r="S7" s="176"/>
      <c r="T7" s="176"/>
      <c r="U7" s="176"/>
      <c r="V7" s="176"/>
      <c r="W7" s="176"/>
      <c r="X7" s="144" t="b">
        <f t="shared" si="0"/>
        <v>1</v>
      </c>
      <c r="Y7" s="215">
        <f t="shared" si="1"/>
        <v>0.5</v>
      </c>
      <c r="Z7" s="216" t="b">
        <f t="shared" si="2"/>
        <v>1</v>
      </c>
      <c r="AA7" s="216" t="b">
        <f t="shared" si="3"/>
        <v>1</v>
      </c>
    </row>
    <row r="8" spans="1:27" s="165" customFormat="1" ht="36.75" customHeight="1">
      <c r="A8" s="220">
        <v>6</v>
      </c>
      <c r="B8" s="220">
        <v>414</v>
      </c>
      <c r="C8" s="220" t="s">
        <v>46</v>
      </c>
      <c r="D8" s="220" t="s">
        <v>68</v>
      </c>
      <c r="E8" s="220">
        <v>2011</v>
      </c>
      <c r="F8" s="261" t="s">
        <v>662</v>
      </c>
      <c r="G8" s="184" t="s">
        <v>47</v>
      </c>
      <c r="H8" s="222">
        <v>11.842</v>
      </c>
      <c r="I8" s="260" t="s">
        <v>222</v>
      </c>
      <c r="J8" s="37">
        <v>12990000</v>
      </c>
      <c r="K8" s="255">
        <v>7794000</v>
      </c>
      <c r="L8" s="37">
        <v>5196000</v>
      </c>
      <c r="M8" s="183">
        <v>0.6</v>
      </c>
      <c r="N8" s="256">
        <v>0</v>
      </c>
      <c r="O8" s="256">
        <v>0</v>
      </c>
      <c r="P8" s="187">
        <v>4634000</v>
      </c>
      <c r="Q8" s="187">
        <v>3160000</v>
      </c>
      <c r="R8" s="176"/>
      <c r="S8" s="185"/>
      <c r="T8" s="185"/>
      <c r="U8" s="185"/>
      <c r="V8" s="185"/>
      <c r="W8" s="176"/>
      <c r="X8" s="144" t="b">
        <f t="shared" si="0"/>
        <v>1</v>
      </c>
      <c r="Y8" s="215">
        <f t="shared" si="1"/>
        <v>0.6</v>
      </c>
      <c r="Z8" s="216" t="b">
        <f t="shared" si="2"/>
        <v>1</v>
      </c>
      <c r="AA8" s="216" t="b">
        <f t="shared" si="3"/>
        <v>1</v>
      </c>
    </row>
    <row r="9" spans="1:27" s="165" customFormat="1" ht="43.5" customHeight="1">
      <c r="A9" s="220">
        <v>7</v>
      </c>
      <c r="B9" s="220">
        <v>298</v>
      </c>
      <c r="C9" s="220" t="s">
        <v>46</v>
      </c>
      <c r="D9" s="220" t="s">
        <v>708</v>
      </c>
      <c r="E9" s="220">
        <v>2007</v>
      </c>
      <c r="F9" s="261" t="s">
        <v>102</v>
      </c>
      <c r="G9" s="184" t="s">
        <v>47</v>
      </c>
      <c r="H9" s="222">
        <v>11.63</v>
      </c>
      <c r="I9" s="260" t="s">
        <v>244</v>
      </c>
      <c r="J9" s="37">
        <v>12901845</v>
      </c>
      <c r="K9" s="255">
        <v>6328500</v>
      </c>
      <c r="L9" s="37">
        <f>J9-K9</f>
        <v>6573345</v>
      </c>
      <c r="M9" s="183">
        <f>ROUND(K9/J9,4)</f>
        <v>0.4905</v>
      </c>
      <c r="N9" s="256">
        <v>0</v>
      </c>
      <c r="O9" s="256">
        <v>0</v>
      </c>
      <c r="P9" s="176">
        <f>15000</f>
        <v>15000</v>
      </c>
      <c r="Q9" s="187">
        <f>6313500</f>
        <v>6313500</v>
      </c>
      <c r="R9" s="176"/>
      <c r="S9" s="185"/>
      <c r="T9" s="185"/>
      <c r="U9" s="185"/>
      <c r="V9" s="185"/>
      <c r="W9" s="176"/>
      <c r="X9" s="144" t="b">
        <f t="shared" si="0"/>
        <v>1</v>
      </c>
      <c r="Y9" s="215">
        <f>ROUND(K9/J9,4)</f>
        <v>0.4905</v>
      </c>
      <c r="Z9" s="216" t="b">
        <f t="shared" si="2"/>
        <v>1</v>
      </c>
      <c r="AA9" s="216" t="b">
        <f t="shared" si="3"/>
        <v>1</v>
      </c>
    </row>
    <row r="10" spans="1:27" s="165" customFormat="1" ht="51">
      <c r="A10" s="220">
        <v>8</v>
      </c>
      <c r="B10" s="220">
        <v>287</v>
      </c>
      <c r="C10" s="220" t="s">
        <v>46</v>
      </c>
      <c r="D10" s="220" t="s">
        <v>68</v>
      </c>
      <c r="E10" s="220">
        <v>2011</v>
      </c>
      <c r="F10" s="261" t="s">
        <v>663</v>
      </c>
      <c r="G10" s="184" t="s">
        <v>49</v>
      </c>
      <c r="H10" s="222">
        <v>5.502</v>
      </c>
      <c r="I10" s="260" t="s">
        <v>104</v>
      </c>
      <c r="J10" s="37">
        <v>18500000</v>
      </c>
      <c r="K10" s="255">
        <v>11100000</v>
      </c>
      <c r="L10" s="37">
        <v>7400000</v>
      </c>
      <c r="M10" s="183">
        <v>0.6</v>
      </c>
      <c r="N10" s="256">
        <v>0</v>
      </c>
      <c r="O10" s="256">
        <v>0</v>
      </c>
      <c r="P10" s="176">
        <v>2850000</v>
      </c>
      <c r="Q10" s="187">
        <v>4500000</v>
      </c>
      <c r="R10" s="175">
        <v>3750000</v>
      </c>
      <c r="S10" s="185"/>
      <c r="T10" s="185"/>
      <c r="U10" s="185"/>
      <c r="V10" s="185"/>
      <c r="W10" s="176"/>
      <c r="X10" s="144" t="b">
        <f t="shared" si="0"/>
        <v>1</v>
      </c>
      <c r="Y10" s="215">
        <f t="shared" si="1"/>
        <v>0.6</v>
      </c>
      <c r="Z10" s="216" t="b">
        <f t="shared" si="2"/>
        <v>1</v>
      </c>
      <c r="AA10" s="216" t="b">
        <f t="shared" si="3"/>
        <v>1</v>
      </c>
    </row>
    <row r="11" spans="1:27" ht="38.25">
      <c r="A11" s="220">
        <v>9</v>
      </c>
      <c r="B11" s="220">
        <v>413</v>
      </c>
      <c r="C11" s="220" t="s">
        <v>46</v>
      </c>
      <c r="D11" s="220" t="s">
        <v>68</v>
      </c>
      <c r="E11" s="220">
        <v>2011</v>
      </c>
      <c r="F11" s="261" t="s">
        <v>664</v>
      </c>
      <c r="G11" s="184" t="s">
        <v>47</v>
      </c>
      <c r="H11" s="222">
        <v>3.85</v>
      </c>
      <c r="I11" s="260" t="s">
        <v>221</v>
      </c>
      <c r="J11" s="37">
        <v>4800000</v>
      </c>
      <c r="K11" s="255">
        <f aca="true" t="shared" si="4" ref="K11:K31">ROUNDDOWN(J11*M11,2)</f>
        <v>2400000</v>
      </c>
      <c r="L11" s="37">
        <f aca="true" t="shared" si="5" ref="L11:L22">J11-K11</f>
        <v>2400000</v>
      </c>
      <c r="M11" s="183">
        <v>0.5</v>
      </c>
      <c r="N11" s="256">
        <v>0</v>
      </c>
      <c r="O11" s="256">
        <v>0</v>
      </c>
      <c r="P11" s="176">
        <f>180000*M11</f>
        <v>90000</v>
      </c>
      <c r="Q11" s="176">
        <f>1500000</f>
        <v>1500000</v>
      </c>
      <c r="R11" s="175">
        <f>1620000*M11</f>
        <v>810000</v>
      </c>
      <c r="S11" s="176"/>
      <c r="T11" s="185"/>
      <c r="U11" s="185"/>
      <c r="V11" s="185"/>
      <c r="W11" s="176"/>
      <c r="X11" s="144" t="b">
        <f t="shared" si="0"/>
        <v>1</v>
      </c>
      <c r="Y11" s="215">
        <f t="shared" si="1"/>
        <v>0.5</v>
      </c>
      <c r="Z11" s="216" t="b">
        <f t="shared" si="2"/>
        <v>1</v>
      </c>
      <c r="AA11" s="216" t="b">
        <f t="shared" si="3"/>
        <v>1</v>
      </c>
    </row>
    <row r="12" spans="1:27" ht="36.75" customHeight="1">
      <c r="A12" s="220">
        <v>10</v>
      </c>
      <c r="B12" s="220">
        <v>310</v>
      </c>
      <c r="C12" s="220" t="s">
        <v>46</v>
      </c>
      <c r="D12" s="220" t="s">
        <v>101</v>
      </c>
      <c r="E12" s="220">
        <v>2007</v>
      </c>
      <c r="F12" s="261" t="s">
        <v>108</v>
      </c>
      <c r="G12" s="184" t="s">
        <v>47</v>
      </c>
      <c r="H12" s="222">
        <v>4.525</v>
      </c>
      <c r="I12" s="260" t="s">
        <v>109</v>
      </c>
      <c r="J12" s="37">
        <v>6962000</v>
      </c>
      <c r="K12" s="255">
        <f t="shared" si="4"/>
        <v>3481000</v>
      </c>
      <c r="L12" s="37">
        <f t="shared" si="5"/>
        <v>3481000</v>
      </c>
      <c r="M12" s="183">
        <v>0.5</v>
      </c>
      <c r="N12" s="256">
        <v>0</v>
      </c>
      <c r="O12" s="256">
        <v>0</v>
      </c>
      <c r="P12" s="176">
        <f>100000*M12</f>
        <v>50000</v>
      </c>
      <c r="Q12" s="176">
        <f>1000000</f>
        <v>1000000</v>
      </c>
      <c r="R12" s="175">
        <f>4862000*M12</f>
        <v>2431000</v>
      </c>
      <c r="S12" s="176"/>
      <c r="T12" s="185"/>
      <c r="U12" s="185"/>
      <c r="V12" s="185"/>
      <c r="W12" s="176"/>
      <c r="X12" s="144" t="b">
        <f t="shared" si="0"/>
        <v>1</v>
      </c>
      <c r="Y12" s="215">
        <f t="shared" si="1"/>
        <v>0.5</v>
      </c>
      <c r="Z12" s="216" t="b">
        <f t="shared" si="2"/>
        <v>1</v>
      </c>
      <c r="AA12" s="216" t="b">
        <f t="shared" si="3"/>
        <v>1</v>
      </c>
    </row>
    <row r="13" spans="1:27" ht="36.75" customHeight="1">
      <c r="A13" s="220">
        <v>11</v>
      </c>
      <c r="B13" s="220">
        <v>178</v>
      </c>
      <c r="C13" s="220" t="s">
        <v>46</v>
      </c>
      <c r="D13" s="220" t="s">
        <v>709</v>
      </c>
      <c r="E13" s="224" t="s">
        <v>111</v>
      </c>
      <c r="F13" s="261" t="s">
        <v>112</v>
      </c>
      <c r="G13" s="184" t="s">
        <v>49</v>
      </c>
      <c r="H13" s="222">
        <v>1.625</v>
      </c>
      <c r="I13" s="260" t="s">
        <v>665</v>
      </c>
      <c r="J13" s="37">
        <v>3701188.46</v>
      </c>
      <c r="K13" s="255">
        <f t="shared" si="4"/>
        <v>1850594.23</v>
      </c>
      <c r="L13" s="37">
        <f t="shared" si="5"/>
        <v>1850594.23</v>
      </c>
      <c r="M13" s="183">
        <v>0.5</v>
      </c>
      <c r="N13" s="256">
        <v>0</v>
      </c>
      <c r="O13" s="256">
        <v>0</v>
      </c>
      <c r="P13" s="176">
        <v>762974.33</v>
      </c>
      <c r="Q13" s="187">
        <v>1087619.9</v>
      </c>
      <c r="R13" s="176"/>
      <c r="S13" s="185"/>
      <c r="T13" s="185"/>
      <c r="U13" s="185"/>
      <c r="V13" s="185"/>
      <c r="W13" s="176"/>
      <c r="X13" s="144" t="b">
        <f t="shared" si="0"/>
        <v>1</v>
      </c>
      <c r="Y13" s="215">
        <f t="shared" si="1"/>
        <v>0.5</v>
      </c>
      <c r="Z13" s="216" t="b">
        <f t="shared" si="2"/>
        <v>1</v>
      </c>
      <c r="AA13" s="216" t="b">
        <f t="shared" si="3"/>
        <v>1</v>
      </c>
    </row>
    <row r="14" spans="1:27" ht="38.25">
      <c r="A14" s="220">
        <v>12</v>
      </c>
      <c r="B14" s="220">
        <v>284</v>
      </c>
      <c r="C14" s="220" t="s">
        <v>46</v>
      </c>
      <c r="D14" s="220" t="s">
        <v>68</v>
      </c>
      <c r="E14" s="220">
        <v>2011</v>
      </c>
      <c r="F14" s="261" t="s">
        <v>115</v>
      </c>
      <c r="G14" s="225" t="s">
        <v>47</v>
      </c>
      <c r="H14" s="226">
        <v>7.42</v>
      </c>
      <c r="I14" s="260" t="s">
        <v>105</v>
      </c>
      <c r="J14" s="37">
        <v>8580000</v>
      </c>
      <c r="K14" s="255">
        <f t="shared" si="4"/>
        <v>4290000</v>
      </c>
      <c r="L14" s="37">
        <f t="shared" si="5"/>
        <v>4290000</v>
      </c>
      <c r="M14" s="183">
        <v>0.5</v>
      </c>
      <c r="N14" s="256">
        <v>0</v>
      </c>
      <c r="O14" s="256">
        <v>0</v>
      </c>
      <c r="P14" s="176">
        <f>1500000*M14</f>
        <v>750000</v>
      </c>
      <c r="Q14" s="176">
        <f>2600000</f>
        <v>2600000</v>
      </c>
      <c r="R14" s="175">
        <f>1880000*M14</f>
        <v>940000</v>
      </c>
      <c r="S14" s="176"/>
      <c r="T14" s="185"/>
      <c r="U14" s="185"/>
      <c r="V14" s="185"/>
      <c r="W14" s="176"/>
      <c r="X14" s="144" t="b">
        <f t="shared" si="0"/>
        <v>1</v>
      </c>
      <c r="Y14" s="215">
        <f t="shared" si="1"/>
        <v>0.5</v>
      </c>
      <c r="Z14" s="216" t="b">
        <f t="shared" si="2"/>
        <v>1</v>
      </c>
      <c r="AA14" s="216" t="b">
        <f t="shared" si="3"/>
        <v>1</v>
      </c>
    </row>
    <row r="15" spans="1:27" ht="36.75" customHeight="1">
      <c r="A15" s="220">
        <v>13</v>
      </c>
      <c r="B15" s="220">
        <v>288</v>
      </c>
      <c r="C15" s="220" t="s">
        <v>46</v>
      </c>
      <c r="D15" s="220" t="s">
        <v>710</v>
      </c>
      <c r="E15" s="220">
        <v>2010</v>
      </c>
      <c r="F15" s="261" t="s">
        <v>117</v>
      </c>
      <c r="G15" s="184" t="s">
        <v>50</v>
      </c>
      <c r="H15" s="222">
        <v>3.211</v>
      </c>
      <c r="I15" s="260" t="s">
        <v>240</v>
      </c>
      <c r="J15" s="37">
        <v>7902943.21</v>
      </c>
      <c r="K15" s="255">
        <f t="shared" si="4"/>
        <v>3951471.6</v>
      </c>
      <c r="L15" s="37">
        <f t="shared" si="5"/>
        <v>3951471.61</v>
      </c>
      <c r="M15" s="183">
        <v>0.5</v>
      </c>
      <c r="N15" s="256">
        <v>0</v>
      </c>
      <c r="O15" s="256">
        <v>0</v>
      </c>
      <c r="P15" s="176">
        <v>1709842.16</v>
      </c>
      <c r="Q15" s="187">
        <v>2241629.44</v>
      </c>
      <c r="R15" s="176"/>
      <c r="S15" s="185"/>
      <c r="T15" s="185"/>
      <c r="U15" s="185"/>
      <c r="V15" s="185"/>
      <c r="W15" s="176"/>
      <c r="X15" s="144" t="b">
        <f t="shared" si="0"/>
        <v>1</v>
      </c>
      <c r="Y15" s="215">
        <f t="shared" si="1"/>
        <v>0.5</v>
      </c>
      <c r="Z15" s="216" t="b">
        <f t="shared" si="2"/>
        <v>1</v>
      </c>
      <c r="AA15" s="216" t="b">
        <f t="shared" si="3"/>
        <v>1</v>
      </c>
    </row>
    <row r="16" spans="1:27" ht="36.75" customHeight="1">
      <c r="A16" s="220">
        <v>14</v>
      </c>
      <c r="B16" s="220">
        <v>172</v>
      </c>
      <c r="C16" s="220" t="s">
        <v>46</v>
      </c>
      <c r="D16" s="220" t="s">
        <v>709</v>
      </c>
      <c r="E16" s="224" t="s">
        <v>111</v>
      </c>
      <c r="F16" s="261" t="s">
        <v>119</v>
      </c>
      <c r="G16" s="184" t="s">
        <v>49</v>
      </c>
      <c r="H16" s="222">
        <v>0.744</v>
      </c>
      <c r="I16" s="260" t="s">
        <v>218</v>
      </c>
      <c r="J16" s="37">
        <v>2108012.62</v>
      </c>
      <c r="K16" s="255">
        <f t="shared" si="4"/>
        <v>1054006.31</v>
      </c>
      <c r="L16" s="37">
        <f t="shared" si="5"/>
        <v>1054006.31</v>
      </c>
      <c r="M16" s="183">
        <v>0.5</v>
      </c>
      <c r="N16" s="256">
        <v>0</v>
      </c>
      <c r="O16" s="256">
        <v>0</v>
      </c>
      <c r="P16" s="176">
        <v>411613.71</v>
      </c>
      <c r="Q16" s="187">
        <v>642392.6</v>
      </c>
      <c r="R16" s="176"/>
      <c r="S16" s="185"/>
      <c r="T16" s="185"/>
      <c r="U16" s="185"/>
      <c r="V16" s="185"/>
      <c r="W16" s="176"/>
      <c r="X16" s="144" t="b">
        <f t="shared" si="0"/>
        <v>1</v>
      </c>
      <c r="Y16" s="215">
        <f t="shared" si="1"/>
        <v>0.5</v>
      </c>
      <c r="Z16" s="216" t="b">
        <f t="shared" si="2"/>
        <v>1</v>
      </c>
      <c r="AA16" s="216" t="b">
        <f t="shared" si="3"/>
        <v>1</v>
      </c>
    </row>
    <row r="17" spans="1:27" ht="36.75" customHeight="1">
      <c r="A17" s="220">
        <v>15</v>
      </c>
      <c r="B17" s="220">
        <v>441</v>
      </c>
      <c r="C17" s="220" t="s">
        <v>46</v>
      </c>
      <c r="D17" s="220" t="s">
        <v>116</v>
      </c>
      <c r="E17" s="220">
        <v>2010</v>
      </c>
      <c r="F17" s="221" t="s">
        <v>120</v>
      </c>
      <c r="G17" s="184" t="s">
        <v>50</v>
      </c>
      <c r="H17" s="222">
        <v>4.571</v>
      </c>
      <c r="I17" s="223" t="s">
        <v>118</v>
      </c>
      <c r="J17" s="37">
        <v>11617650.68</v>
      </c>
      <c r="K17" s="173">
        <f t="shared" si="4"/>
        <v>5808825.34</v>
      </c>
      <c r="L17" s="37">
        <f t="shared" si="5"/>
        <v>5808825.34</v>
      </c>
      <c r="M17" s="183">
        <v>0.5</v>
      </c>
      <c r="N17" s="175">
        <v>0</v>
      </c>
      <c r="O17" s="175">
        <v>0</v>
      </c>
      <c r="P17" s="187">
        <f>3873883.56*M17</f>
        <v>1936941.78</v>
      </c>
      <c r="Q17" s="187">
        <f>3871883.56</f>
        <v>3871883.56</v>
      </c>
      <c r="R17" s="176"/>
      <c r="S17" s="176"/>
      <c r="T17" s="176"/>
      <c r="U17" s="176"/>
      <c r="V17" s="176"/>
      <c r="W17" s="176"/>
      <c r="X17" s="144" t="b">
        <f t="shared" si="0"/>
        <v>1</v>
      </c>
      <c r="Y17" s="215">
        <f t="shared" si="1"/>
        <v>0.5</v>
      </c>
      <c r="Z17" s="216" t="b">
        <f t="shared" si="2"/>
        <v>1</v>
      </c>
      <c r="AA17" s="216" t="b">
        <f t="shared" si="3"/>
        <v>1</v>
      </c>
    </row>
    <row r="18" spans="1:27" ht="44.25" customHeight="1">
      <c r="A18" s="220">
        <v>16</v>
      </c>
      <c r="B18" s="220">
        <v>217</v>
      </c>
      <c r="C18" s="220" t="s">
        <v>46</v>
      </c>
      <c r="D18" s="220" t="s">
        <v>711</v>
      </c>
      <c r="E18" s="224" t="s">
        <v>111</v>
      </c>
      <c r="F18" s="261" t="s">
        <v>121</v>
      </c>
      <c r="G18" s="184" t="s">
        <v>50</v>
      </c>
      <c r="H18" s="222">
        <v>5.021</v>
      </c>
      <c r="I18" s="260" t="s">
        <v>666</v>
      </c>
      <c r="J18" s="37">
        <v>8264527.69</v>
      </c>
      <c r="K18" s="255">
        <f t="shared" si="4"/>
        <v>4132263.84</v>
      </c>
      <c r="L18" s="37">
        <f t="shared" si="5"/>
        <v>4132263.8500000006</v>
      </c>
      <c r="M18" s="183">
        <v>0.5</v>
      </c>
      <c r="N18" s="175">
        <v>0</v>
      </c>
      <c r="O18" s="256">
        <v>0</v>
      </c>
      <c r="P18" s="176">
        <v>375592.06</v>
      </c>
      <c r="Q18" s="187">
        <v>1877960.3</v>
      </c>
      <c r="R18" s="175">
        <v>1878711.48</v>
      </c>
      <c r="S18" s="185"/>
      <c r="T18" s="185"/>
      <c r="U18" s="185"/>
      <c r="V18" s="185"/>
      <c r="W18" s="176"/>
      <c r="X18" s="144" t="b">
        <f t="shared" si="0"/>
        <v>1</v>
      </c>
      <c r="Y18" s="215">
        <f t="shared" si="1"/>
        <v>0.5</v>
      </c>
      <c r="Z18" s="216" t="b">
        <f t="shared" si="2"/>
        <v>1</v>
      </c>
      <c r="AA18" s="216" t="b">
        <f t="shared" si="3"/>
        <v>1</v>
      </c>
    </row>
    <row r="19" spans="1:27" ht="36.75" customHeight="1">
      <c r="A19" s="220">
        <v>17</v>
      </c>
      <c r="B19" s="220">
        <v>177</v>
      </c>
      <c r="C19" s="220" t="s">
        <v>46</v>
      </c>
      <c r="D19" s="220" t="s">
        <v>709</v>
      </c>
      <c r="E19" s="224" t="s">
        <v>111</v>
      </c>
      <c r="F19" s="261" t="s">
        <v>122</v>
      </c>
      <c r="G19" s="184" t="s">
        <v>49</v>
      </c>
      <c r="H19" s="222">
        <v>0.3</v>
      </c>
      <c r="I19" s="260" t="s">
        <v>218</v>
      </c>
      <c r="J19" s="37">
        <v>548520.88</v>
      </c>
      <c r="K19" s="255">
        <f t="shared" si="4"/>
        <v>274260.44</v>
      </c>
      <c r="L19" s="37">
        <f t="shared" si="5"/>
        <v>274260.44</v>
      </c>
      <c r="M19" s="183">
        <v>0.5</v>
      </c>
      <c r="N19" s="175">
        <v>0</v>
      </c>
      <c r="O19" s="256">
        <v>0</v>
      </c>
      <c r="P19" s="176">
        <v>135312.42</v>
      </c>
      <c r="Q19" s="187">
        <v>138948.02</v>
      </c>
      <c r="R19" s="176"/>
      <c r="S19" s="185"/>
      <c r="T19" s="185"/>
      <c r="U19" s="185"/>
      <c r="V19" s="185"/>
      <c r="W19" s="176"/>
      <c r="X19" s="144" t="b">
        <f t="shared" si="0"/>
        <v>1</v>
      </c>
      <c r="Y19" s="215">
        <f t="shared" si="1"/>
        <v>0.5</v>
      </c>
      <c r="Z19" s="216" t="b">
        <f t="shared" si="2"/>
        <v>1</v>
      </c>
      <c r="AA19" s="216" t="b">
        <f t="shared" si="3"/>
        <v>1</v>
      </c>
    </row>
    <row r="20" spans="1:27" ht="36.75" customHeight="1">
      <c r="A20" s="220">
        <v>18</v>
      </c>
      <c r="B20" s="220">
        <v>214</v>
      </c>
      <c r="C20" s="220" t="s">
        <v>46</v>
      </c>
      <c r="D20" s="220" t="s">
        <v>709</v>
      </c>
      <c r="E20" s="224" t="s">
        <v>111</v>
      </c>
      <c r="F20" s="261" t="s">
        <v>123</v>
      </c>
      <c r="G20" s="184" t="s">
        <v>50</v>
      </c>
      <c r="H20" s="222">
        <v>0.976</v>
      </c>
      <c r="I20" s="260" t="s">
        <v>218</v>
      </c>
      <c r="J20" s="37">
        <v>957751.68</v>
      </c>
      <c r="K20" s="255">
        <f t="shared" si="4"/>
        <v>478875.84</v>
      </c>
      <c r="L20" s="37">
        <f t="shared" si="5"/>
        <v>478875.84</v>
      </c>
      <c r="M20" s="183">
        <v>0.5</v>
      </c>
      <c r="N20" s="175">
        <v>0</v>
      </c>
      <c r="O20" s="256">
        <v>0</v>
      </c>
      <c r="P20" s="176">
        <v>220793.37</v>
      </c>
      <c r="Q20" s="187">
        <v>258082.47</v>
      </c>
      <c r="R20" s="176"/>
      <c r="S20" s="185"/>
      <c r="T20" s="185"/>
      <c r="U20" s="185"/>
      <c r="V20" s="185"/>
      <c r="W20" s="176"/>
      <c r="X20" s="144" t="b">
        <f t="shared" si="0"/>
        <v>1</v>
      </c>
      <c r="Y20" s="215">
        <f t="shared" si="1"/>
        <v>0.5</v>
      </c>
      <c r="Z20" s="216" t="b">
        <f t="shared" si="2"/>
        <v>1</v>
      </c>
      <c r="AA20" s="216" t="b">
        <f t="shared" si="3"/>
        <v>1</v>
      </c>
    </row>
    <row r="21" spans="1:27" ht="36.75" customHeight="1">
      <c r="A21" s="220">
        <v>19</v>
      </c>
      <c r="B21" s="220">
        <v>194</v>
      </c>
      <c r="C21" s="220" t="s">
        <v>46</v>
      </c>
      <c r="D21" s="220" t="s">
        <v>48</v>
      </c>
      <c r="E21" s="224" t="s">
        <v>111</v>
      </c>
      <c r="F21" s="261" t="s">
        <v>124</v>
      </c>
      <c r="G21" s="184" t="s">
        <v>50</v>
      </c>
      <c r="H21" s="222">
        <v>1.556</v>
      </c>
      <c r="I21" s="260" t="s">
        <v>113</v>
      </c>
      <c r="J21" s="37">
        <v>4602000</v>
      </c>
      <c r="K21" s="255">
        <f t="shared" si="4"/>
        <v>2301000</v>
      </c>
      <c r="L21" s="37">
        <f t="shared" si="5"/>
        <v>2301000</v>
      </c>
      <c r="M21" s="183">
        <v>0.5</v>
      </c>
      <c r="N21" s="175">
        <v>0</v>
      </c>
      <c r="O21" s="256">
        <v>0</v>
      </c>
      <c r="P21" s="176">
        <f>2000000*M21</f>
        <v>1000000</v>
      </c>
      <c r="Q21" s="187">
        <f>1301000</f>
        <v>1301000</v>
      </c>
      <c r="R21" s="176"/>
      <c r="S21" s="185"/>
      <c r="T21" s="185"/>
      <c r="U21" s="185"/>
      <c r="V21" s="185"/>
      <c r="W21" s="176"/>
      <c r="X21" s="144" t="b">
        <f t="shared" si="0"/>
        <v>1</v>
      </c>
      <c r="Y21" s="215">
        <f t="shared" si="1"/>
        <v>0.5</v>
      </c>
      <c r="Z21" s="216" t="b">
        <f t="shared" si="2"/>
        <v>1</v>
      </c>
      <c r="AA21" s="216" t="b">
        <f t="shared" si="3"/>
        <v>1</v>
      </c>
    </row>
    <row r="22" spans="1:27" ht="36.75" customHeight="1">
      <c r="A22" s="220">
        <v>20</v>
      </c>
      <c r="B22" s="220">
        <v>280</v>
      </c>
      <c r="C22" s="220" t="s">
        <v>46</v>
      </c>
      <c r="D22" s="220" t="s">
        <v>712</v>
      </c>
      <c r="E22" s="224" t="s">
        <v>126</v>
      </c>
      <c r="F22" s="221" t="s">
        <v>127</v>
      </c>
      <c r="G22" s="184" t="s">
        <v>47</v>
      </c>
      <c r="H22" s="222">
        <v>2.3449</v>
      </c>
      <c r="I22" s="223" t="s">
        <v>243</v>
      </c>
      <c r="J22" s="37">
        <v>2966496.02</v>
      </c>
      <c r="K22" s="173">
        <f t="shared" si="4"/>
        <v>1483248.01</v>
      </c>
      <c r="L22" s="37">
        <f t="shared" si="5"/>
        <v>1483248.01</v>
      </c>
      <c r="M22" s="183">
        <v>0.5</v>
      </c>
      <c r="N22" s="175">
        <v>0</v>
      </c>
      <c r="O22" s="175">
        <v>0</v>
      </c>
      <c r="P22" s="187">
        <v>463547.24</v>
      </c>
      <c r="Q22" s="187">
        <v>505294.53</v>
      </c>
      <c r="R22" s="175">
        <v>514406.24</v>
      </c>
      <c r="S22" s="176"/>
      <c r="T22" s="176"/>
      <c r="U22" s="176"/>
      <c r="V22" s="176"/>
      <c r="W22" s="176"/>
      <c r="X22" s="144" t="b">
        <f t="shared" si="0"/>
        <v>1</v>
      </c>
      <c r="Y22" s="215">
        <f t="shared" si="1"/>
        <v>0.5</v>
      </c>
      <c r="Z22" s="216" t="b">
        <f t="shared" si="2"/>
        <v>1</v>
      </c>
      <c r="AA22" s="216" t="b">
        <f t="shared" si="3"/>
        <v>1</v>
      </c>
    </row>
    <row r="23" spans="1:27" ht="36.75" customHeight="1">
      <c r="A23" s="220">
        <v>21</v>
      </c>
      <c r="B23" s="220">
        <v>77</v>
      </c>
      <c r="C23" s="220" t="s">
        <v>46</v>
      </c>
      <c r="D23" s="220" t="s">
        <v>713</v>
      </c>
      <c r="E23" s="220">
        <v>2013</v>
      </c>
      <c r="F23" s="261" t="s">
        <v>128</v>
      </c>
      <c r="G23" s="184" t="s">
        <v>47</v>
      </c>
      <c r="H23" s="222">
        <v>3.3</v>
      </c>
      <c r="I23" s="260" t="s">
        <v>202</v>
      </c>
      <c r="J23" s="37">
        <v>5099661.38</v>
      </c>
      <c r="K23" s="255">
        <f t="shared" si="4"/>
        <v>2549830.69</v>
      </c>
      <c r="L23" s="37">
        <f aca="true" t="shared" si="6" ref="L23:L33">J23-K23</f>
        <v>2549830.69</v>
      </c>
      <c r="M23" s="183">
        <v>0.5</v>
      </c>
      <c r="N23" s="175">
        <v>0</v>
      </c>
      <c r="O23" s="256">
        <v>0</v>
      </c>
      <c r="P23" s="176">
        <v>94800.39</v>
      </c>
      <c r="Q23" s="187">
        <v>2455030.3</v>
      </c>
      <c r="R23" s="176"/>
      <c r="S23" s="185"/>
      <c r="T23" s="185"/>
      <c r="U23" s="185"/>
      <c r="V23" s="185"/>
      <c r="W23" s="176"/>
      <c r="X23" s="144" t="b">
        <f t="shared" si="0"/>
        <v>1</v>
      </c>
      <c r="Y23" s="215">
        <f t="shared" si="1"/>
        <v>0.5</v>
      </c>
      <c r="Z23" s="216" t="b">
        <f t="shared" si="2"/>
        <v>1</v>
      </c>
      <c r="AA23" s="216" t="b">
        <f t="shared" si="3"/>
        <v>1</v>
      </c>
    </row>
    <row r="24" spans="1:27" ht="36.75" customHeight="1">
      <c r="A24" s="220">
        <v>22</v>
      </c>
      <c r="B24" s="220">
        <v>192</v>
      </c>
      <c r="C24" s="220" t="s">
        <v>46</v>
      </c>
      <c r="D24" s="220" t="s">
        <v>48</v>
      </c>
      <c r="E24" s="224" t="s">
        <v>111</v>
      </c>
      <c r="F24" s="261" t="s">
        <v>129</v>
      </c>
      <c r="G24" s="184" t="s">
        <v>49</v>
      </c>
      <c r="H24" s="222">
        <v>0.64</v>
      </c>
      <c r="I24" s="260" t="s">
        <v>113</v>
      </c>
      <c r="J24" s="37">
        <v>1294800</v>
      </c>
      <c r="K24" s="255">
        <f t="shared" si="4"/>
        <v>647400</v>
      </c>
      <c r="L24" s="37">
        <f t="shared" si="6"/>
        <v>647400</v>
      </c>
      <c r="M24" s="183">
        <v>0.5</v>
      </c>
      <c r="N24" s="256">
        <v>0</v>
      </c>
      <c r="O24" s="256">
        <v>0</v>
      </c>
      <c r="P24" s="257">
        <f>500000*M24</f>
        <v>250000</v>
      </c>
      <c r="Q24" s="187">
        <f>397400</f>
        <v>397400</v>
      </c>
      <c r="R24" s="176"/>
      <c r="S24" s="185"/>
      <c r="T24" s="185"/>
      <c r="U24" s="185"/>
      <c r="V24" s="185"/>
      <c r="W24" s="176"/>
      <c r="X24" s="144" t="b">
        <f t="shared" si="0"/>
        <v>1</v>
      </c>
      <c r="Y24" s="215">
        <f t="shared" si="1"/>
        <v>0.5</v>
      </c>
      <c r="Z24" s="216" t="b">
        <f t="shared" si="2"/>
        <v>1</v>
      </c>
      <c r="AA24" s="216" t="b">
        <f t="shared" si="3"/>
        <v>1</v>
      </c>
    </row>
    <row r="25" spans="1:27" ht="36.75" customHeight="1">
      <c r="A25" s="220">
        <v>23</v>
      </c>
      <c r="B25" s="220">
        <v>159</v>
      </c>
      <c r="C25" s="220" t="s">
        <v>46</v>
      </c>
      <c r="D25" s="220" t="s">
        <v>714</v>
      </c>
      <c r="E25" s="220">
        <v>2005</v>
      </c>
      <c r="F25" s="261" t="s">
        <v>130</v>
      </c>
      <c r="G25" s="184" t="s">
        <v>50</v>
      </c>
      <c r="H25" s="222">
        <v>1.478</v>
      </c>
      <c r="I25" s="260" t="s">
        <v>247</v>
      </c>
      <c r="J25" s="37">
        <v>5125770.49</v>
      </c>
      <c r="K25" s="255">
        <f t="shared" si="4"/>
        <v>2562885.24</v>
      </c>
      <c r="L25" s="37">
        <f t="shared" si="6"/>
        <v>2562885.25</v>
      </c>
      <c r="M25" s="183">
        <v>0.5</v>
      </c>
      <c r="N25" s="175">
        <v>0</v>
      </c>
      <c r="O25" s="256">
        <v>0</v>
      </c>
      <c r="P25" s="176">
        <v>682408.43</v>
      </c>
      <c r="Q25" s="187">
        <v>1880476.81</v>
      </c>
      <c r="R25" s="176"/>
      <c r="S25" s="185"/>
      <c r="T25" s="185"/>
      <c r="U25" s="185"/>
      <c r="V25" s="185"/>
      <c r="W25" s="176"/>
      <c r="X25" s="144" t="b">
        <f t="shared" si="0"/>
        <v>1</v>
      </c>
      <c r="Y25" s="215">
        <f t="shared" si="1"/>
        <v>0.5</v>
      </c>
      <c r="Z25" s="216" t="b">
        <f t="shared" si="2"/>
        <v>1</v>
      </c>
      <c r="AA25" s="216" t="b">
        <f t="shared" si="3"/>
        <v>1</v>
      </c>
    </row>
    <row r="26" spans="1:27" ht="36.75" customHeight="1">
      <c r="A26" s="220">
        <v>24</v>
      </c>
      <c r="B26" s="220">
        <v>304</v>
      </c>
      <c r="C26" s="220" t="s">
        <v>46</v>
      </c>
      <c r="D26" s="220" t="s">
        <v>101</v>
      </c>
      <c r="E26" s="220">
        <v>2007</v>
      </c>
      <c r="F26" s="261" t="s">
        <v>131</v>
      </c>
      <c r="G26" s="184" t="s">
        <v>47</v>
      </c>
      <c r="H26" s="222">
        <v>2.35</v>
      </c>
      <c r="I26" s="260" t="s">
        <v>132</v>
      </c>
      <c r="J26" s="186">
        <v>7908222.46</v>
      </c>
      <c r="K26" s="255">
        <f t="shared" si="4"/>
        <v>3954111.23</v>
      </c>
      <c r="L26" s="37">
        <f t="shared" si="6"/>
        <v>3954111.23</v>
      </c>
      <c r="M26" s="183">
        <v>0.5</v>
      </c>
      <c r="N26" s="175">
        <v>0</v>
      </c>
      <c r="O26" s="256">
        <v>0</v>
      </c>
      <c r="P26" s="176">
        <f>128412*M26</f>
        <v>64206</v>
      </c>
      <c r="Q26" s="189">
        <f>1500000</f>
        <v>1500000</v>
      </c>
      <c r="R26" s="176">
        <f>4779810.46*M26</f>
        <v>2389905.23</v>
      </c>
      <c r="S26" s="176"/>
      <c r="T26" s="185"/>
      <c r="U26" s="185"/>
      <c r="V26" s="185"/>
      <c r="W26" s="176"/>
      <c r="X26" s="144" t="b">
        <f t="shared" si="0"/>
        <v>1</v>
      </c>
      <c r="Y26" s="215">
        <f t="shared" si="1"/>
        <v>0.5</v>
      </c>
      <c r="Z26" s="216" t="b">
        <f t="shared" si="2"/>
        <v>1</v>
      </c>
      <c r="AA26" s="216" t="b">
        <f t="shared" si="3"/>
        <v>1</v>
      </c>
    </row>
    <row r="27" spans="1:27" ht="36.75" customHeight="1">
      <c r="A27" s="220">
        <v>25</v>
      </c>
      <c r="B27" s="220">
        <v>174</v>
      </c>
      <c r="C27" s="220" t="s">
        <v>46</v>
      </c>
      <c r="D27" s="220" t="s">
        <v>709</v>
      </c>
      <c r="E27" s="224" t="s">
        <v>111</v>
      </c>
      <c r="F27" s="261" t="s">
        <v>134</v>
      </c>
      <c r="G27" s="184" t="s">
        <v>50</v>
      </c>
      <c r="H27" s="222">
        <v>0.889</v>
      </c>
      <c r="I27" s="260" t="s">
        <v>218</v>
      </c>
      <c r="J27" s="37">
        <v>1607176.61</v>
      </c>
      <c r="K27" s="255">
        <f t="shared" si="4"/>
        <v>803588.3</v>
      </c>
      <c r="L27" s="37">
        <f t="shared" si="6"/>
        <v>803588.31</v>
      </c>
      <c r="M27" s="183">
        <v>0.5</v>
      </c>
      <c r="N27" s="175">
        <v>0</v>
      </c>
      <c r="O27" s="256">
        <v>0</v>
      </c>
      <c r="P27" s="176">
        <v>401348.2</v>
      </c>
      <c r="Q27" s="187">
        <v>402240.1</v>
      </c>
      <c r="R27" s="176"/>
      <c r="S27" s="185"/>
      <c r="T27" s="185"/>
      <c r="U27" s="185"/>
      <c r="V27" s="185"/>
      <c r="W27" s="176"/>
      <c r="X27" s="144" t="b">
        <f t="shared" si="0"/>
        <v>1</v>
      </c>
      <c r="Y27" s="215">
        <f t="shared" si="1"/>
        <v>0.5</v>
      </c>
      <c r="Z27" s="216" t="b">
        <f t="shared" si="2"/>
        <v>1</v>
      </c>
      <c r="AA27" s="216" t="b">
        <f t="shared" si="3"/>
        <v>1</v>
      </c>
    </row>
    <row r="28" spans="1:27" ht="44.25" customHeight="1">
      <c r="A28" s="220">
        <v>26</v>
      </c>
      <c r="B28" s="220">
        <v>182</v>
      </c>
      <c r="C28" s="220" t="s">
        <v>46</v>
      </c>
      <c r="D28" s="220" t="s">
        <v>709</v>
      </c>
      <c r="E28" s="224" t="s">
        <v>111</v>
      </c>
      <c r="F28" s="261" t="s">
        <v>135</v>
      </c>
      <c r="G28" s="184" t="s">
        <v>50</v>
      </c>
      <c r="H28" s="222">
        <v>4.854</v>
      </c>
      <c r="I28" s="260" t="s">
        <v>667</v>
      </c>
      <c r="J28" s="37">
        <v>3792929.94</v>
      </c>
      <c r="K28" s="255">
        <f t="shared" si="4"/>
        <v>1896464.97</v>
      </c>
      <c r="L28" s="37">
        <f t="shared" si="6"/>
        <v>1896464.97</v>
      </c>
      <c r="M28" s="183">
        <v>0.5</v>
      </c>
      <c r="N28" s="175">
        <v>0</v>
      </c>
      <c r="O28" s="256">
        <v>0</v>
      </c>
      <c r="P28" s="176">
        <v>729035.74</v>
      </c>
      <c r="Q28" s="187">
        <v>1167429.23</v>
      </c>
      <c r="R28" s="176"/>
      <c r="S28" s="185"/>
      <c r="T28" s="185"/>
      <c r="U28" s="185"/>
      <c r="V28" s="185"/>
      <c r="W28" s="176"/>
      <c r="X28" s="144" t="b">
        <f aca="true" t="shared" si="7" ref="X28:X35">K28=SUM(N28:W28)</f>
        <v>1</v>
      </c>
      <c r="Y28" s="215">
        <f aca="true" t="shared" si="8" ref="Y28:Y39">ROUND(K28/J28,4)</f>
        <v>0.5</v>
      </c>
      <c r="Z28" s="216" t="b">
        <f aca="true" t="shared" si="9" ref="Z28:Z39">Y28=M28</f>
        <v>1</v>
      </c>
      <c r="AA28" s="216" t="b">
        <f aca="true" t="shared" si="10" ref="AA28:AA39">J28=K28+L28</f>
        <v>1</v>
      </c>
    </row>
    <row r="29" spans="1:27" ht="36.75" customHeight="1">
      <c r="A29" s="220">
        <v>27</v>
      </c>
      <c r="B29" s="220">
        <v>175</v>
      </c>
      <c r="C29" s="220" t="s">
        <v>46</v>
      </c>
      <c r="D29" s="220" t="s">
        <v>48</v>
      </c>
      <c r="E29" s="224" t="s">
        <v>111</v>
      </c>
      <c r="F29" s="261" t="s">
        <v>136</v>
      </c>
      <c r="G29" s="184" t="s">
        <v>50</v>
      </c>
      <c r="H29" s="222">
        <v>0.483</v>
      </c>
      <c r="I29" s="260" t="s">
        <v>113</v>
      </c>
      <c r="J29" s="37">
        <v>2452000</v>
      </c>
      <c r="K29" s="255">
        <f t="shared" si="4"/>
        <v>1226000</v>
      </c>
      <c r="L29" s="37">
        <f t="shared" si="6"/>
        <v>1226000</v>
      </c>
      <c r="M29" s="183">
        <v>0.5</v>
      </c>
      <c r="N29" s="175">
        <v>0</v>
      </c>
      <c r="O29" s="256">
        <v>0</v>
      </c>
      <c r="P29" s="176">
        <f>1100000*M29</f>
        <v>550000</v>
      </c>
      <c r="Q29" s="187">
        <f>676000</f>
        <v>676000</v>
      </c>
      <c r="R29" s="176"/>
      <c r="S29" s="185"/>
      <c r="T29" s="185"/>
      <c r="U29" s="185"/>
      <c r="V29" s="185"/>
      <c r="W29" s="176"/>
      <c r="X29" s="144" t="b">
        <f t="shared" si="7"/>
        <v>1</v>
      </c>
      <c r="Y29" s="215">
        <f t="shared" si="8"/>
        <v>0.5</v>
      </c>
      <c r="Z29" s="216" t="b">
        <f t="shared" si="9"/>
        <v>1</v>
      </c>
      <c r="AA29" s="216" t="b">
        <f t="shared" si="10"/>
        <v>1</v>
      </c>
    </row>
    <row r="30" spans="1:27" ht="36.75" customHeight="1">
      <c r="A30" s="220">
        <v>28</v>
      </c>
      <c r="B30" s="220">
        <v>112</v>
      </c>
      <c r="C30" s="220" t="s">
        <v>46</v>
      </c>
      <c r="D30" s="220" t="s">
        <v>709</v>
      </c>
      <c r="E30" s="224" t="s">
        <v>111</v>
      </c>
      <c r="F30" s="261" t="s">
        <v>137</v>
      </c>
      <c r="G30" s="184" t="s">
        <v>49</v>
      </c>
      <c r="H30" s="222">
        <v>0.729</v>
      </c>
      <c r="I30" s="260" t="s">
        <v>665</v>
      </c>
      <c r="J30" s="37">
        <v>1507753.64</v>
      </c>
      <c r="K30" s="255">
        <f t="shared" si="4"/>
        <v>753876.82</v>
      </c>
      <c r="L30" s="37">
        <f t="shared" si="6"/>
        <v>753876.82</v>
      </c>
      <c r="M30" s="183">
        <v>0.5</v>
      </c>
      <c r="N30" s="175">
        <v>0</v>
      </c>
      <c r="O30" s="256">
        <v>0</v>
      </c>
      <c r="P30" s="176">
        <v>361419.94</v>
      </c>
      <c r="Q30" s="187">
        <v>392456.88</v>
      </c>
      <c r="R30" s="176"/>
      <c r="S30" s="185"/>
      <c r="T30" s="185"/>
      <c r="U30" s="185"/>
      <c r="V30" s="185"/>
      <c r="W30" s="176"/>
      <c r="X30" s="144" t="b">
        <f t="shared" si="7"/>
        <v>1</v>
      </c>
      <c r="Y30" s="215">
        <f t="shared" si="8"/>
        <v>0.5</v>
      </c>
      <c r="Z30" s="216" t="b">
        <f t="shared" si="9"/>
        <v>1</v>
      </c>
      <c r="AA30" s="216" t="b">
        <f t="shared" si="10"/>
        <v>1</v>
      </c>
    </row>
    <row r="31" spans="1:27" ht="51">
      <c r="A31" s="220">
        <v>29</v>
      </c>
      <c r="B31" s="220">
        <v>213</v>
      </c>
      <c r="C31" s="220" t="s">
        <v>46</v>
      </c>
      <c r="D31" s="220" t="s">
        <v>709</v>
      </c>
      <c r="E31" s="224" t="s">
        <v>111</v>
      </c>
      <c r="F31" s="261" t="s">
        <v>172</v>
      </c>
      <c r="G31" s="184" t="s">
        <v>47</v>
      </c>
      <c r="H31" s="222">
        <v>1.384</v>
      </c>
      <c r="I31" s="260" t="s">
        <v>665</v>
      </c>
      <c r="J31" s="37">
        <v>4312572.39</v>
      </c>
      <c r="K31" s="255">
        <f t="shared" si="4"/>
        <v>2156286.19</v>
      </c>
      <c r="L31" s="37">
        <f t="shared" si="6"/>
        <v>2156286.1999999997</v>
      </c>
      <c r="M31" s="183">
        <v>0.5</v>
      </c>
      <c r="N31" s="175">
        <v>0</v>
      </c>
      <c r="O31" s="256">
        <v>0</v>
      </c>
      <c r="P31" s="187">
        <v>888915.25</v>
      </c>
      <c r="Q31" s="187">
        <v>1267370.94</v>
      </c>
      <c r="R31" s="176"/>
      <c r="S31" s="176"/>
      <c r="T31" s="178"/>
      <c r="U31" s="178"/>
      <c r="V31" s="178"/>
      <c r="W31" s="178"/>
      <c r="X31" s="144" t="b">
        <f t="shared" si="7"/>
        <v>1</v>
      </c>
      <c r="Y31" s="215">
        <f t="shared" si="8"/>
        <v>0.5</v>
      </c>
      <c r="Z31" s="216" t="b">
        <f t="shared" si="9"/>
        <v>1</v>
      </c>
      <c r="AA31" s="216" t="b">
        <f t="shared" si="10"/>
        <v>1</v>
      </c>
    </row>
    <row r="32" spans="1:27" ht="40.5" customHeight="1">
      <c r="A32" s="220">
        <v>30</v>
      </c>
      <c r="B32" s="220">
        <v>285</v>
      </c>
      <c r="C32" s="220" t="s">
        <v>46</v>
      </c>
      <c r="D32" s="220" t="s">
        <v>68</v>
      </c>
      <c r="E32" s="220">
        <v>2011</v>
      </c>
      <c r="F32" s="261" t="s">
        <v>668</v>
      </c>
      <c r="G32" s="184" t="s">
        <v>47</v>
      </c>
      <c r="H32" s="222">
        <v>11</v>
      </c>
      <c r="I32" s="260" t="s">
        <v>173</v>
      </c>
      <c r="J32" s="37">
        <v>10980000</v>
      </c>
      <c r="K32" s="255">
        <f aca="true" t="shared" si="11" ref="K32:K39">ROUNDDOWN(J32*M32,2)</f>
        <v>5490000</v>
      </c>
      <c r="L32" s="37">
        <f t="shared" si="6"/>
        <v>5490000</v>
      </c>
      <c r="M32" s="183">
        <v>0.5</v>
      </c>
      <c r="N32" s="175">
        <v>0</v>
      </c>
      <c r="O32" s="256">
        <v>0</v>
      </c>
      <c r="P32" s="187">
        <f>360000*M32</f>
        <v>180000</v>
      </c>
      <c r="Q32" s="176">
        <f>3011000</f>
        <v>3011000</v>
      </c>
      <c r="R32" s="175">
        <f>4598000*M32</f>
        <v>2299000</v>
      </c>
      <c r="S32" s="176"/>
      <c r="T32" s="178"/>
      <c r="U32" s="178"/>
      <c r="V32" s="178"/>
      <c r="W32" s="178"/>
      <c r="X32" s="144" t="b">
        <f t="shared" si="7"/>
        <v>1</v>
      </c>
      <c r="Y32" s="215">
        <f t="shared" si="8"/>
        <v>0.5</v>
      </c>
      <c r="Z32" s="216" t="b">
        <f t="shared" si="9"/>
        <v>1</v>
      </c>
      <c r="AA32" s="216" t="b">
        <f t="shared" si="10"/>
        <v>1</v>
      </c>
    </row>
    <row r="33" spans="1:27" ht="36.75" customHeight="1">
      <c r="A33" s="220">
        <v>31</v>
      </c>
      <c r="B33" s="220">
        <v>183</v>
      </c>
      <c r="C33" s="220" t="s">
        <v>46</v>
      </c>
      <c r="D33" s="220" t="s">
        <v>709</v>
      </c>
      <c r="E33" s="224" t="s">
        <v>111</v>
      </c>
      <c r="F33" s="261" t="s">
        <v>174</v>
      </c>
      <c r="G33" s="184" t="s">
        <v>49</v>
      </c>
      <c r="H33" s="222">
        <v>2.986</v>
      </c>
      <c r="I33" s="260" t="s">
        <v>669</v>
      </c>
      <c r="J33" s="37">
        <v>7154087.15</v>
      </c>
      <c r="K33" s="255">
        <f t="shared" si="11"/>
        <v>3577043.57</v>
      </c>
      <c r="L33" s="37">
        <f t="shared" si="6"/>
        <v>3577043.5800000005</v>
      </c>
      <c r="M33" s="183">
        <v>0.5</v>
      </c>
      <c r="N33" s="175">
        <v>0</v>
      </c>
      <c r="O33" s="256">
        <v>0</v>
      </c>
      <c r="P33" s="187">
        <v>1615829.96</v>
      </c>
      <c r="Q33" s="176">
        <v>1961213.61</v>
      </c>
      <c r="R33" s="176"/>
      <c r="S33" s="176"/>
      <c r="T33" s="178"/>
      <c r="U33" s="178"/>
      <c r="V33" s="178"/>
      <c r="W33" s="178"/>
      <c r="X33" s="144" t="b">
        <f t="shared" si="7"/>
        <v>1</v>
      </c>
      <c r="Y33" s="215">
        <f t="shared" si="8"/>
        <v>0.5</v>
      </c>
      <c r="Z33" s="216" t="b">
        <f t="shared" si="9"/>
        <v>1</v>
      </c>
      <c r="AA33" s="216" t="b">
        <f t="shared" si="10"/>
        <v>1</v>
      </c>
    </row>
    <row r="34" spans="1:28" s="34" customFormat="1" ht="49.5" customHeight="1">
      <c r="A34" s="220">
        <v>32</v>
      </c>
      <c r="B34" s="220">
        <v>412</v>
      </c>
      <c r="C34" s="220" t="s">
        <v>46</v>
      </c>
      <c r="D34" s="220" t="s">
        <v>68</v>
      </c>
      <c r="E34" s="220">
        <v>2011</v>
      </c>
      <c r="F34" s="261" t="s">
        <v>175</v>
      </c>
      <c r="G34" s="184" t="s">
        <v>49</v>
      </c>
      <c r="H34" s="222">
        <v>3.6</v>
      </c>
      <c r="I34" s="260" t="s">
        <v>187</v>
      </c>
      <c r="J34" s="37">
        <v>5120000</v>
      </c>
      <c r="K34" s="255">
        <f t="shared" si="11"/>
        <v>2560000</v>
      </c>
      <c r="L34" s="37">
        <f aca="true" t="shared" si="12" ref="L34:L44">J34-K34</f>
        <v>2560000</v>
      </c>
      <c r="M34" s="183">
        <v>0.5</v>
      </c>
      <c r="N34" s="175">
        <v>0</v>
      </c>
      <c r="O34" s="256">
        <v>0</v>
      </c>
      <c r="P34" s="190">
        <f>120000*M34</f>
        <v>60000</v>
      </c>
      <c r="Q34" s="176">
        <f>(3720000*M34)</f>
        <v>1860000</v>
      </c>
      <c r="R34" s="191">
        <f>1280000*M34</f>
        <v>640000</v>
      </c>
      <c r="S34" s="176"/>
      <c r="T34" s="176"/>
      <c r="U34" s="176"/>
      <c r="V34" s="176"/>
      <c r="W34" s="176"/>
      <c r="X34" s="144" t="b">
        <f t="shared" si="7"/>
        <v>1</v>
      </c>
      <c r="Y34" s="215">
        <f t="shared" si="8"/>
        <v>0.5</v>
      </c>
      <c r="Z34" s="216" t="b">
        <f t="shared" si="9"/>
        <v>1</v>
      </c>
      <c r="AA34" s="216" t="b">
        <f t="shared" si="10"/>
        <v>1</v>
      </c>
      <c r="AB34" s="3"/>
    </row>
    <row r="35" spans="1:28" s="34" customFormat="1" ht="36.75" customHeight="1">
      <c r="A35" s="220">
        <v>33</v>
      </c>
      <c r="B35" s="220">
        <v>295</v>
      </c>
      <c r="C35" s="220" t="s">
        <v>46</v>
      </c>
      <c r="D35" s="220" t="s">
        <v>101</v>
      </c>
      <c r="E35" s="220">
        <v>2007</v>
      </c>
      <c r="F35" s="261" t="s">
        <v>176</v>
      </c>
      <c r="G35" s="184" t="s">
        <v>50</v>
      </c>
      <c r="H35" s="222">
        <v>2.035</v>
      </c>
      <c r="I35" s="260" t="s">
        <v>177</v>
      </c>
      <c r="J35" s="37">
        <v>5707000</v>
      </c>
      <c r="K35" s="255">
        <f t="shared" si="11"/>
        <v>2853500</v>
      </c>
      <c r="L35" s="37">
        <f t="shared" si="12"/>
        <v>2853500</v>
      </c>
      <c r="M35" s="183">
        <v>0.5</v>
      </c>
      <c r="N35" s="175">
        <v>0</v>
      </c>
      <c r="O35" s="256">
        <v>0</v>
      </c>
      <c r="P35" s="190">
        <f>150000*M35</f>
        <v>75000</v>
      </c>
      <c r="Q35" s="176">
        <f>(2000000*M35)</f>
        <v>1000000</v>
      </c>
      <c r="R35" s="191">
        <f>3557000*M35</f>
        <v>1778500</v>
      </c>
      <c r="S35" s="176"/>
      <c r="T35" s="176"/>
      <c r="U35" s="176"/>
      <c r="V35" s="176"/>
      <c r="W35" s="176"/>
      <c r="X35" s="144" t="b">
        <f t="shared" si="7"/>
        <v>1</v>
      </c>
      <c r="Y35" s="215">
        <f t="shared" si="8"/>
        <v>0.5</v>
      </c>
      <c r="Z35" s="216" t="b">
        <f t="shared" si="9"/>
        <v>1</v>
      </c>
      <c r="AA35" s="216" t="b">
        <f t="shared" si="10"/>
        <v>1</v>
      </c>
      <c r="AB35" s="3"/>
    </row>
    <row r="36" spans="1:28" s="34" customFormat="1" ht="36.75" customHeight="1">
      <c r="A36" s="220">
        <v>34</v>
      </c>
      <c r="B36" s="220">
        <v>309</v>
      </c>
      <c r="C36" s="220" t="s">
        <v>46</v>
      </c>
      <c r="D36" s="220" t="s">
        <v>101</v>
      </c>
      <c r="E36" s="220">
        <v>2007</v>
      </c>
      <c r="F36" s="221" t="s">
        <v>178</v>
      </c>
      <c r="G36" s="184" t="s">
        <v>50</v>
      </c>
      <c r="H36" s="222">
        <v>0.99</v>
      </c>
      <c r="I36" s="223" t="s">
        <v>179</v>
      </c>
      <c r="J36" s="37">
        <v>2446000</v>
      </c>
      <c r="K36" s="173">
        <f t="shared" si="11"/>
        <v>1223000</v>
      </c>
      <c r="L36" s="37">
        <f t="shared" si="12"/>
        <v>1223000</v>
      </c>
      <c r="M36" s="183">
        <v>0.5</v>
      </c>
      <c r="N36" s="175">
        <v>0</v>
      </c>
      <c r="O36" s="175">
        <v>0</v>
      </c>
      <c r="P36" s="176">
        <f>20000*M36</f>
        <v>10000</v>
      </c>
      <c r="Q36" s="176">
        <f>(2426000*M36)</f>
        <v>1213000</v>
      </c>
      <c r="R36" s="176"/>
      <c r="S36" s="176"/>
      <c r="T36" s="176"/>
      <c r="U36" s="176"/>
      <c r="V36" s="176"/>
      <c r="W36" s="176"/>
      <c r="X36" s="144" t="b">
        <f aca="true" t="shared" si="13" ref="X36:X44">K36=SUM(N36:W36)</f>
        <v>1</v>
      </c>
      <c r="Y36" s="215">
        <f t="shared" si="8"/>
        <v>0.5</v>
      </c>
      <c r="Z36" s="216" t="b">
        <f t="shared" si="9"/>
        <v>1</v>
      </c>
      <c r="AA36" s="216" t="b">
        <f t="shared" si="10"/>
        <v>1</v>
      </c>
      <c r="AB36" s="3"/>
    </row>
    <row r="37" spans="1:28" s="34" customFormat="1" ht="36.75" customHeight="1">
      <c r="A37" s="220">
        <v>35</v>
      </c>
      <c r="B37" s="220">
        <v>400</v>
      </c>
      <c r="C37" s="220" t="s">
        <v>46</v>
      </c>
      <c r="D37" s="220" t="s">
        <v>125</v>
      </c>
      <c r="E37" s="224" t="s">
        <v>126</v>
      </c>
      <c r="F37" s="221" t="s">
        <v>180</v>
      </c>
      <c r="G37" s="184" t="s">
        <v>50</v>
      </c>
      <c r="H37" s="222">
        <v>6.0136</v>
      </c>
      <c r="I37" s="223" t="s">
        <v>670</v>
      </c>
      <c r="J37" s="37">
        <v>7000000</v>
      </c>
      <c r="K37" s="173">
        <f t="shared" si="11"/>
        <v>3500000</v>
      </c>
      <c r="L37" s="37">
        <f t="shared" si="12"/>
        <v>3500000</v>
      </c>
      <c r="M37" s="183">
        <v>0.5</v>
      </c>
      <c r="N37" s="175">
        <v>0</v>
      </c>
      <c r="O37" s="175">
        <v>0</v>
      </c>
      <c r="P37" s="176">
        <v>1166482.5</v>
      </c>
      <c r="Q37" s="176">
        <v>1166482.5</v>
      </c>
      <c r="R37" s="191">
        <v>1167035</v>
      </c>
      <c r="S37" s="176"/>
      <c r="T37" s="176"/>
      <c r="U37" s="176"/>
      <c r="V37" s="176"/>
      <c r="W37" s="176"/>
      <c r="X37" s="144" t="b">
        <f t="shared" si="13"/>
        <v>1</v>
      </c>
      <c r="Y37" s="215">
        <f t="shared" si="8"/>
        <v>0.5</v>
      </c>
      <c r="Z37" s="216" t="b">
        <f t="shared" si="9"/>
        <v>1</v>
      </c>
      <c r="AA37" s="216" t="b">
        <f t="shared" si="10"/>
        <v>1</v>
      </c>
      <c r="AB37" s="3"/>
    </row>
    <row r="38" spans="1:28" s="34" customFormat="1" ht="36.75" customHeight="1">
      <c r="A38" s="220">
        <v>36</v>
      </c>
      <c r="B38" s="220">
        <v>179</v>
      </c>
      <c r="C38" s="220" t="s">
        <v>46</v>
      </c>
      <c r="D38" s="220" t="s">
        <v>671</v>
      </c>
      <c r="E38" s="224" t="s">
        <v>111</v>
      </c>
      <c r="F38" s="221" t="s">
        <v>181</v>
      </c>
      <c r="G38" s="184" t="s">
        <v>49</v>
      </c>
      <c r="H38" s="222">
        <v>1.064</v>
      </c>
      <c r="I38" s="223" t="s">
        <v>113</v>
      </c>
      <c r="J38" s="37">
        <v>4143000</v>
      </c>
      <c r="K38" s="173">
        <f t="shared" si="11"/>
        <v>2071500</v>
      </c>
      <c r="L38" s="37">
        <f t="shared" si="12"/>
        <v>2071500</v>
      </c>
      <c r="M38" s="183">
        <v>0.5</v>
      </c>
      <c r="N38" s="175">
        <v>0</v>
      </c>
      <c r="O38" s="175">
        <v>0</v>
      </c>
      <c r="P38" s="176">
        <f>2000000*M38</f>
        <v>1000000</v>
      </c>
      <c r="Q38" s="176">
        <f>(2143000*M38)</f>
        <v>1071500</v>
      </c>
      <c r="R38" s="176"/>
      <c r="S38" s="176"/>
      <c r="T38" s="176"/>
      <c r="U38" s="176"/>
      <c r="V38" s="176"/>
      <c r="W38" s="176"/>
      <c r="X38" s="144" t="b">
        <f t="shared" si="13"/>
        <v>1</v>
      </c>
      <c r="Y38" s="215">
        <f t="shared" si="8"/>
        <v>0.5</v>
      </c>
      <c r="Z38" s="216" t="b">
        <f t="shared" si="9"/>
        <v>1</v>
      </c>
      <c r="AA38" s="216" t="b">
        <f t="shared" si="10"/>
        <v>1</v>
      </c>
      <c r="AB38" s="3"/>
    </row>
    <row r="39" spans="1:28" s="34" customFormat="1" ht="36.75" customHeight="1">
      <c r="A39" s="220">
        <v>37</v>
      </c>
      <c r="B39" s="220">
        <v>180</v>
      </c>
      <c r="C39" s="220" t="s">
        <v>46</v>
      </c>
      <c r="D39" s="220" t="s">
        <v>48</v>
      </c>
      <c r="E39" s="224" t="s">
        <v>111</v>
      </c>
      <c r="F39" s="221" t="s">
        <v>182</v>
      </c>
      <c r="G39" s="184" t="s">
        <v>47</v>
      </c>
      <c r="H39" s="222">
        <v>0.84</v>
      </c>
      <c r="I39" s="223" t="s">
        <v>113</v>
      </c>
      <c r="J39" s="37">
        <v>5361000</v>
      </c>
      <c r="K39" s="173">
        <f t="shared" si="11"/>
        <v>2680500</v>
      </c>
      <c r="L39" s="37">
        <f t="shared" si="12"/>
        <v>2680500</v>
      </c>
      <c r="M39" s="183">
        <v>0.5</v>
      </c>
      <c r="N39" s="175">
        <v>0</v>
      </c>
      <c r="O39" s="175">
        <v>0</v>
      </c>
      <c r="P39" s="176">
        <f>2000000*M39</f>
        <v>1000000</v>
      </c>
      <c r="Q39" s="176">
        <f>(3361000*M39)</f>
        <v>1680500</v>
      </c>
      <c r="R39" s="176"/>
      <c r="S39" s="176"/>
      <c r="T39" s="176"/>
      <c r="U39" s="176"/>
      <c r="V39" s="176"/>
      <c r="W39" s="176"/>
      <c r="X39" s="144" t="b">
        <f t="shared" si="13"/>
        <v>1</v>
      </c>
      <c r="Y39" s="215">
        <f t="shared" si="8"/>
        <v>0.5</v>
      </c>
      <c r="Z39" s="216" t="b">
        <f t="shared" si="9"/>
        <v>1</v>
      </c>
      <c r="AA39" s="216" t="b">
        <f t="shared" si="10"/>
        <v>1</v>
      </c>
      <c r="AB39" s="3"/>
    </row>
    <row r="40" spans="1:28" s="34" customFormat="1" ht="36.75" customHeight="1">
      <c r="A40" s="220">
        <v>38</v>
      </c>
      <c r="B40" s="220">
        <v>215</v>
      </c>
      <c r="C40" s="220" t="s">
        <v>46</v>
      </c>
      <c r="D40" s="220" t="s">
        <v>715</v>
      </c>
      <c r="E40" s="224" t="s">
        <v>111</v>
      </c>
      <c r="F40" s="221" t="s">
        <v>184</v>
      </c>
      <c r="G40" s="184" t="s">
        <v>50</v>
      </c>
      <c r="H40" s="222">
        <v>0.852</v>
      </c>
      <c r="I40" s="223" t="s">
        <v>222</v>
      </c>
      <c r="J40" s="176">
        <v>1498257.1</v>
      </c>
      <c r="K40" s="173">
        <v>651000</v>
      </c>
      <c r="L40" s="37">
        <f t="shared" si="12"/>
        <v>847257.1000000001</v>
      </c>
      <c r="M40" s="183">
        <f>ROUND(K40/J40,4)</f>
        <v>0.4345</v>
      </c>
      <c r="N40" s="175">
        <v>0</v>
      </c>
      <c r="O40" s="175">
        <v>0</v>
      </c>
      <c r="P40" s="176">
        <v>300000</v>
      </c>
      <c r="Q40" s="176">
        <v>351000</v>
      </c>
      <c r="R40" s="176"/>
      <c r="S40" s="176"/>
      <c r="T40" s="176"/>
      <c r="U40" s="176"/>
      <c r="V40" s="176"/>
      <c r="W40" s="176"/>
      <c r="X40" s="144" t="b">
        <f t="shared" si="13"/>
        <v>1</v>
      </c>
      <c r="Y40" s="215">
        <f>ROUND(K40/J40,4)</f>
        <v>0.4345</v>
      </c>
      <c r="Z40" s="216" t="b">
        <f>Y40=M40</f>
        <v>1</v>
      </c>
      <c r="AA40" s="216" t="b">
        <f>J40=K40+L40</f>
        <v>1</v>
      </c>
      <c r="AB40" s="3"/>
    </row>
    <row r="41" spans="1:28" s="34" customFormat="1" ht="36.75" customHeight="1">
      <c r="A41" s="220">
        <v>39</v>
      </c>
      <c r="B41" s="220">
        <v>176</v>
      </c>
      <c r="C41" s="220" t="s">
        <v>46</v>
      </c>
      <c r="D41" s="220" t="s">
        <v>709</v>
      </c>
      <c r="E41" s="224" t="s">
        <v>111</v>
      </c>
      <c r="F41" s="221" t="s">
        <v>185</v>
      </c>
      <c r="G41" s="184" t="s">
        <v>49</v>
      </c>
      <c r="H41" s="222">
        <v>2.093</v>
      </c>
      <c r="I41" s="223" t="s">
        <v>665</v>
      </c>
      <c r="J41" s="37">
        <v>3469653.74</v>
      </c>
      <c r="K41" s="173">
        <f>ROUNDDOWN(J41*M41,2)</f>
        <v>1734826.87</v>
      </c>
      <c r="L41" s="37">
        <f t="shared" si="12"/>
        <v>1734826.87</v>
      </c>
      <c r="M41" s="183">
        <v>0.5</v>
      </c>
      <c r="N41" s="175">
        <v>0</v>
      </c>
      <c r="O41" s="175">
        <v>0</v>
      </c>
      <c r="P41" s="176">
        <v>794902.43</v>
      </c>
      <c r="Q41" s="176">
        <v>939924.44</v>
      </c>
      <c r="R41" s="176"/>
      <c r="S41" s="176"/>
      <c r="T41" s="176"/>
      <c r="U41" s="176"/>
      <c r="V41" s="176"/>
      <c r="W41" s="176"/>
      <c r="X41" s="144" t="b">
        <f t="shared" si="13"/>
        <v>1</v>
      </c>
      <c r="Y41" s="215">
        <f>ROUND(K41/J41,4)</f>
        <v>0.5</v>
      </c>
      <c r="Z41" s="216" t="b">
        <f>Y41=M41</f>
        <v>1</v>
      </c>
      <c r="AA41" s="216" t="b">
        <f>J41=K41+L41</f>
        <v>1</v>
      </c>
      <c r="AB41" s="3"/>
    </row>
    <row r="42" spans="1:28" s="34" customFormat="1" ht="36.75" customHeight="1">
      <c r="A42" s="220">
        <v>40</v>
      </c>
      <c r="B42" s="220">
        <v>184</v>
      </c>
      <c r="C42" s="220" t="s">
        <v>46</v>
      </c>
      <c r="D42" s="220" t="s">
        <v>716</v>
      </c>
      <c r="E42" s="224" t="s">
        <v>111</v>
      </c>
      <c r="F42" s="221" t="s">
        <v>186</v>
      </c>
      <c r="G42" s="184" t="s">
        <v>50</v>
      </c>
      <c r="H42" s="222">
        <v>0.232</v>
      </c>
      <c r="I42" s="223" t="s">
        <v>113</v>
      </c>
      <c r="J42" s="37">
        <v>724274.76</v>
      </c>
      <c r="K42" s="173">
        <v>351000</v>
      </c>
      <c r="L42" s="37">
        <f t="shared" si="12"/>
        <v>373274.76</v>
      </c>
      <c r="M42" s="183">
        <f>ROUND(K42/J42,4)</f>
        <v>0.4846</v>
      </c>
      <c r="N42" s="175">
        <v>0</v>
      </c>
      <c r="O42" s="175">
        <v>0</v>
      </c>
      <c r="P42" s="176">
        <v>150000</v>
      </c>
      <c r="Q42" s="176">
        <v>201000</v>
      </c>
      <c r="R42" s="176"/>
      <c r="S42" s="176"/>
      <c r="T42" s="176"/>
      <c r="U42" s="176"/>
      <c r="V42" s="176"/>
      <c r="W42" s="176"/>
      <c r="X42" s="144" t="b">
        <f t="shared" si="13"/>
        <v>1</v>
      </c>
      <c r="Y42" s="215">
        <f>ROUND(K42/J42,4)</f>
        <v>0.4846</v>
      </c>
      <c r="Z42" s="216" t="b">
        <f>Y42=M42</f>
        <v>1</v>
      </c>
      <c r="AA42" s="216" t="b">
        <f>J42=K42+L42</f>
        <v>1</v>
      </c>
      <c r="AB42" s="3"/>
    </row>
    <row r="43" spans="1:28" s="34" customFormat="1" ht="36.75" customHeight="1">
      <c r="A43" s="220" t="s">
        <v>717</v>
      </c>
      <c r="B43" s="220">
        <v>181</v>
      </c>
      <c r="C43" s="220" t="s">
        <v>46</v>
      </c>
      <c r="D43" s="270" t="s">
        <v>672</v>
      </c>
      <c r="E43" s="224" t="s">
        <v>111</v>
      </c>
      <c r="F43" s="221" t="s">
        <v>189</v>
      </c>
      <c r="G43" s="184" t="s">
        <v>49</v>
      </c>
      <c r="H43" s="222">
        <v>1.047</v>
      </c>
      <c r="I43" s="223" t="s">
        <v>113</v>
      </c>
      <c r="J43" s="37">
        <v>2426320</v>
      </c>
      <c r="K43" s="173">
        <f>ROUNDDOWN(J43*M43,2)-148260.72</f>
        <v>1064899.28</v>
      </c>
      <c r="L43" s="37">
        <f t="shared" si="12"/>
        <v>1361420.72</v>
      </c>
      <c r="M43" s="183">
        <v>0.5</v>
      </c>
      <c r="N43" s="175">
        <v>0</v>
      </c>
      <c r="O43" s="175">
        <v>0</v>
      </c>
      <c r="P43" s="176">
        <f>1000000*M43</f>
        <v>500000</v>
      </c>
      <c r="Q43" s="176">
        <f>713160-148260.72</f>
        <v>564899.28</v>
      </c>
      <c r="R43" s="176"/>
      <c r="S43" s="176"/>
      <c r="T43" s="176"/>
      <c r="U43" s="176"/>
      <c r="V43" s="176"/>
      <c r="W43" s="176"/>
      <c r="X43" s="144" t="b">
        <f t="shared" si="13"/>
        <v>1</v>
      </c>
      <c r="Y43" s="215">
        <f>ROUND(K43/J43,4)</f>
        <v>0.4389</v>
      </c>
      <c r="Z43" s="216" t="b">
        <f>Y43=M43</f>
        <v>0</v>
      </c>
      <c r="AA43" s="216" t="b">
        <f>J43=K43+L43</f>
        <v>1</v>
      </c>
      <c r="AB43" s="35"/>
    </row>
    <row r="44" spans="1:28" s="217" customFormat="1" ht="69" customHeight="1">
      <c r="A44" s="220" t="s">
        <v>718</v>
      </c>
      <c r="B44" s="220">
        <v>404</v>
      </c>
      <c r="C44" s="220" t="s">
        <v>46</v>
      </c>
      <c r="D44" s="220" t="s">
        <v>252</v>
      </c>
      <c r="E44" s="224" t="s">
        <v>107</v>
      </c>
      <c r="F44" s="221" t="s">
        <v>217</v>
      </c>
      <c r="G44" s="184" t="s">
        <v>47</v>
      </c>
      <c r="H44" s="222">
        <v>3.452</v>
      </c>
      <c r="I44" s="223" t="s">
        <v>216</v>
      </c>
      <c r="J44" s="37">
        <v>8500000</v>
      </c>
      <c r="K44" s="173">
        <f>ROUNDDOWN(J44*M44,2)-2250000</f>
        <v>2000000</v>
      </c>
      <c r="L44" s="37">
        <f t="shared" si="12"/>
        <v>6500000</v>
      </c>
      <c r="M44" s="183">
        <v>0.5</v>
      </c>
      <c r="N44" s="175">
        <v>0</v>
      </c>
      <c r="O44" s="175">
        <v>0</v>
      </c>
      <c r="P44" s="176">
        <f>(4000000*M44)</f>
        <v>2000000</v>
      </c>
      <c r="Q44" s="176">
        <f>2250000-2250000</f>
        <v>0</v>
      </c>
      <c r="R44" s="177"/>
      <c r="S44" s="177"/>
      <c r="T44" s="177"/>
      <c r="U44" s="177"/>
      <c r="V44" s="177"/>
      <c r="W44" s="177"/>
      <c r="X44" s="31" t="b">
        <f t="shared" si="13"/>
        <v>1</v>
      </c>
      <c r="Y44" s="149">
        <f>ROUND(K44/J44,4)</f>
        <v>0.2353</v>
      </c>
      <c r="Z44" s="150" t="b">
        <f>Y44=M44</f>
        <v>0</v>
      </c>
      <c r="AA44" s="150" t="b">
        <f>J44=K44+L44</f>
        <v>1</v>
      </c>
      <c r="AB44" s="2"/>
    </row>
    <row r="45" spans="1:28" s="258" customFormat="1" ht="36.75" customHeight="1">
      <c r="A45" s="227">
        <v>43</v>
      </c>
      <c r="B45" s="228">
        <v>330</v>
      </c>
      <c r="C45" s="228" t="s">
        <v>106</v>
      </c>
      <c r="D45" s="228" t="s">
        <v>252</v>
      </c>
      <c r="E45" s="229" t="s">
        <v>107</v>
      </c>
      <c r="F45" s="230" t="s">
        <v>253</v>
      </c>
      <c r="G45" s="218" t="s">
        <v>50</v>
      </c>
      <c r="H45" s="231">
        <v>3.49</v>
      </c>
      <c r="I45" s="232" t="s">
        <v>254</v>
      </c>
      <c r="J45" s="174">
        <v>3000000</v>
      </c>
      <c r="K45" s="205">
        <f aca="true" t="shared" si="14" ref="K45:K65">ROUNDDOWN(J45*M45,2)</f>
        <v>1500000</v>
      </c>
      <c r="L45" s="174">
        <f aca="true" t="shared" si="15" ref="L45:L65">J45-K45</f>
        <v>1500000</v>
      </c>
      <c r="M45" s="192">
        <v>0.5</v>
      </c>
      <c r="N45" s="193">
        <v>0</v>
      </c>
      <c r="O45" s="193">
        <v>0</v>
      </c>
      <c r="P45" s="178">
        <v>0</v>
      </c>
      <c r="Q45" s="178">
        <f>K45</f>
        <v>1500000</v>
      </c>
      <c r="R45" s="178"/>
      <c r="S45" s="178"/>
      <c r="T45" s="178"/>
      <c r="U45" s="178"/>
      <c r="V45" s="178"/>
      <c r="W45" s="178"/>
      <c r="X45" s="144" t="b">
        <f aca="true" t="shared" si="16" ref="X45:X85">K45=SUM(N45:W45)</f>
        <v>1</v>
      </c>
      <c r="Y45" s="215">
        <f aca="true" t="shared" si="17" ref="Y45:Y85">ROUND(K45/J45,4)</f>
        <v>0.5</v>
      </c>
      <c r="Z45" s="216" t="b">
        <f aca="true" t="shared" si="18" ref="Z45:Z85">Y45=M45</f>
        <v>1</v>
      </c>
      <c r="AA45" s="216" t="b">
        <f aca="true" t="shared" si="19" ref="AA45:AA85">J45=K45+L45</f>
        <v>1</v>
      </c>
      <c r="AB45" s="269"/>
    </row>
    <row r="46" spans="1:28" s="204" customFormat="1" ht="36.75" customHeight="1">
      <c r="A46" s="220">
        <v>44</v>
      </c>
      <c r="B46" s="220">
        <v>349</v>
      </c>
      <c r="C46" s="220" t="s">
        <v>65</v>
      </c>
      <c r="D46" s="220" t="s">
        <v>68</v>
      </c>
      <c r="E46" s="224" t="s">
        <v>255</v>
      </c>
      <c r="F46" s="221" t="s">
        <v>256</v>
      </c>
      <c r="G46" s="184" t="s">
        <v>50</v>
      </c>
      <c r="H46" s="222">
        <v>6.43</v>
      </c>
      <c r="I46" s="223" t="s">
        <v>257</v>
      </c>
      <c r="J46" s="37">
        <v>7918000</v>
      </c>
      <c r="K46" s="173">
        <f t="shared" si="14"/>
        <v>3959000</v>
      </c>
      <c r="L46" s="37">
        <f t="shared" si="15"/>
        <v>3959000</v>
      </c>
      <c r="M46" s="183">
        <v>0.5</v>
      </c>
      <c r="N46" s="175">
        <v>0</v>
      </c>
      <c r="O46" s="175">
        <v>0</v>
      </c>
      <c r="P46" s="176">
        <v>0</v>
      </c>
      <c r="Q46" s="176">
        <f>200000*M46</f>
        <v>100000</v>
      </c>
      <c r="R46" s="176">
        <f>3500000*M46</f>
        <v>1750000</v>
      </c>
      <c r="S46" s="176">
        <f>4218000*M46</f>
        <v>2109000</v>
      </c>
      <c r="T46" s="176"/>
      <c r="U46" s="176"/>
      <c r="V46" s="176"/>
      <c r="W46" s="176"/>
      <c r="X46" s="144" t="b">
        <f t="shared" si="16"/>
        <v>1</v>
      </c>
      <c r="Y46" s="215">
        <f t="shared" si="17"/>
        <v>0.5</v>
      </c>
      <c r="Z46" s="216" t="b">
        <f t="shared" si="18"/>
        <v>1</v>
      </c>
      <c r="AA46" s="216" t="b">
        <f t="shared" si="19"/>
        <v>1</v>
      </c>
      <c r="AB46" s="203"/>
    </row>
    <row r="47" spans="1:28" s="204" customFormat="1" ht="36.75" customHeight="1">
      <c r="A47" s="227">
        <v>45</v>
      </c>
      <c r="B47" s="228">
        <v>329</v>
      </c>
      <c r="C47" s="228" t="s">
        <v>106</v>
      </c>
      <c r="D47" s="228" t="s">
        <v>252</v>
      </c>
      <c r="E47" s="229" t="s">
        <v>107</v>
      </c>
      <c r="F47" s="230" t="s">
        <v>258</v>
      </c>
      <c r="G47" s="218" t="s">
        <v>50</v>
      </c>
      <c r="H47" s="231">
        <v>0.902</v>
      </c>
      <c r="I47" s="232" t="s">
        <v>259</v>
      </c>
      <c r="J47" s="174">
        <v>5500000</v>
      </c>
      <c r="K47" s="205">
        <f t="shared" si="14"/>
        <v>2750000</v>
      </c>
      <c r="L47" s="174">
        <f t="shared" si="15"/>
        <v>2750000</v>
      </c>
      <c r="M47" s="192">
        <v>0.5</v>
      </c>
      <c r="N47" s="193">
        <v>0</v>
      </c>
      <c r="O47" s="193">
        <v>0</v>
      </c>
      <c r="P47" s="178">
        <v>0</v>
      </c>
      <c r="Q47" s="178">
        <f>K47</f>
        <v>2750000</v>
      </c>
      <c r="R47" s="178"/>
      <c r="S47" s="178"/>
      <c r="T47" s="178"/>
      <c r="U47" s="178"/>
      <c r="V47" s="177"/>
      <c r="W47" s="177"/>
      <c r="X47" s="144" t="b">
        <f t="shared" si="16"/>
        <v>1</v>
      </c>
      <c r="Y47" s="215">
        <f t="shared" si="17"/>
        <v>0.5</v>
      </c>
      <c r="Z47" s="216" t="b">
        <f t="shared" si="18"/>
        <v>1</v>
      </c>
      <c r="AA47" s="216" t="b">
        <f t="shared" si="19"/>
        <v>1</v>
      </c>
      <c r="AB47" s="203"/>
    </row>
    <row r="48" spans="1:28" s="204" customFormat="1" ht="36.75" customHeight="1">
      <c r="A48" s="220">
        <v>46</v>
      </c>
      <c r="B48" s="220">
        <v>108</v>
      </c>
      <c r="C48" s="220" t="s">
        <v>65</v>
      </c>
      <c r="D48" s="220" t="s">
        <v>48</v>
      </c>
      <c r="E48" s="224" t="s">
        <v>111</v>
      </c>
      <c r="F48" s="221" t="s">
        <v>260</v>
      </c>
      <c r="G48" s="184" t="s">
        <v>49</v>
      </c>
      <c r="H48" s="222">
        <v>0.913</v>
      </c>
      <c r="I48" s="223" t="s">
        <v>261</v>
      </c>
      <c r="J48" s="37">
        <v>4960000</v>
      </c>
      <c r="K48" s="173">
        <f t="shared" si="14"/>
        <v>2480000</v>
      </c>
      <c r="L48" s="37">
        <f t="shared" si="15"/>
        <v>2480000</v>
      </c>
      <c r="M48" s="183">
        <v>0.5</v>
      </c>
      <c r="N48" s="175">
        <v>0</v>
      </c>
      <c r="O48" s="175">
        <v>0</v>
      </c>
      <c r="P48" s="176">
        <v>0</v>
      </c>
      <c r="Q48" s="176">
        <f>1460000*M48</f>
        <v>730000</v>
      </c>
      <c r="R48" s="176">
        <f>2000000*M48</f>
        <v>1000000</v>
      </c>
      <c r="S48" s="176">
        <f>1500000*M48</f>
        <v>750000</v>
      </c>
      <c r="T48" s="176"/>
      <c r="U48" s="176"/>
      <c r="V48" s="176"/>
      <c r="W48" s="176"/>
      <c r="X48" s="144" t="b">
        <f t="shared" si="16"/>
        <v>1</v>
      </c>
      <c r="Y48" s="215">
        <f t="shared" si="17"/>
        <v>0.5</v>
      </c>
      <c r="Z48" s="216" t="b">
        <f t="shared" si="18"/>
        <v>1</v>
      </c>
      <c r="AA48" s="216" t="b">
        <f t="shared" si="19"/>
        <v>1</v>
      </c>
      <c r="AB48" s="203"/>
    </row>
    <row r="49" spans="1:28" s="204" customFormat="1" ht="36.75" customHeight="1">
      <c r="A49" s="220">
        <v>47</v>
      </c>
      <c r="B49" s="220">
        <v>118</v>
      </c>
      <c r="C49" s="220" t="s">
        <v>65</v>
      </c>
      <c r="D49" s="220" t="s">
        <v>48</v>
      </c>
      <c r="E49" s="224" t="s">
        <v>111</v>
      </c>
      <c r="F49" s="221" t="s">
        <v>262</v>
      </c>
      <c r="G49" s="184" t="s">
        <v>49</v>
      </c>
      <c r="H49" s="222">
        <v>0.404</v>
      </c>
      <c r="I49" s="223" t="s">
        <v>263</v>
      </c>
      <c r="J49" s="37">
        <v>2970000</v>
      </c>
      <c r="K49" s="173">
        <f t="shared" si="14"/>
        <v>1485000</v>
      </c>
      <c r="L49" s="37">
        <f t="shared" si="15"/>
        <v>1485000</v>
      </c>
      <c r="M49" s="183">
        <v>0.5</v>
      </c>
      <c r="N49" s="175">
        <v>0</v>
      </c>
      <c r="O49" s="175">
        <v>0</v>
      </c>
      <c r="P49" s="176">
        <v>0</v>
      </c>
      <c r="Q49" s="176">
        <f>470000*M49</f>
        <v>235000</v>
      </c>
      <c r="R49" s="176">
        <f>1000000*M49</f>
        <v>500000</v>
      </c>
      <c r="S49" s="176">
        <f>1500000*M49</f>
        <v>750000</v>
      </c>
      <c r="T49" s="176"/>
      <c r="U49" s="176"/>
      <c r="V49" s="176"/>
      <c r="W49" s="176"/>
      <c r="X49" s="144" t="b">
        <f t="shared" si="16"/>
        <v>1</v>
      </c>
      <c r="Y49" s="215">
        <f t="shared" si="17"/>
        <v>0.5</v>
      </c>
      <c r="Z49" s="216" t="b">
        <f t="shared" si="18"/>
        <v>1</v>
      </c>
      <c r="AA49" s="216" t="b">
        <f t="shared" si="19"/>
        <v>1</v>
      </c>
      <c r="AB49" s="203"/>
    </row>
    <row r="50" spans="1:28" s="204" customFormat="1" ht="36.75" customHeight="1">
      <c r="A50" s="220">
        <v>48</v>
      </c>
      <c r="B50" s="220">
        <v>261</v>
      </c>
      <c r="C50" s="220" t="s">
        <v>65</v>
      </c>
      <c r="D50" s="220" t="s">
        <v>101</v>
      </c>
      <c r="E50" s="224" t="s">
        <v>264</v>
      </c>
      <c r="F50" s="221" t="s">
        <v>265</v>
      </c>
      <c r="G50" s="184" t="s">
        <v>47</v>
      </c>
      <c r="H50" s="222">
        <v>1.85</v>
      </c>
      <c r="I50" s="223" t="s">
        <v>266</v>
      </c>
      <c r="J50" s="37">
        <v>2613500</v>
      </c>
      <c r="K50" s="173">
        <f>ROUNDDOWN(J50*M50,2)</f>
        <v>1306750</v>
      </c>
      <c r="L50" s="37">
        <f>J50-K50</f>
        <v>1306750</v>
      </c>
      <c r="M50" s="183">
        <v>0.5</v>
      </c>
      <c r="N50" s="175">
        <v>0</v>
      </c>
      <c r="O50" s="175">
        <v>0</v>
      </c>
      <c r="P50" s="176">
        <v>0</v>
      </c>
      <c r="Q50" s="176">
        <f>1353500*M50</f>
        <v>676750</v>
      </c>
      <c r="R50" s="176">
        <f>1260000*M50</f>
        <v>630000</v>
      </c>
      <c r="S50" s="176"/>
      <c r="T50" s="176"/>
      <c r="U50" s="176"/>
      <c r="V50" s="176"/>
      <c r="W50" s="176"/>
      <c r="X50" s="144" t="b">
        <f t="shared" si="16"/>
        <v>1</v>
      </c>
      <c r="Y50" s="215">
        <f t="shared" si="17"/>
        <v>0.5</v>
      </c>
      <c r="Z50" s="216" t="b">
        <f t="shared" si="18"/>
        <v>1</v>
      </c>
      <c r="AA50" s="216" t="b">
        <f t="shared" si="19"/>
        <v>1</v>
      </c>
      <c r="AB50" s="203"/>
    </row>
    <row r="51" spans="1:28" s="204" customFormat="1" ht="36.75" customHeight="1">
      <c r="A51" s="227">
        <v>49</v>
      </c>
      <c r="B51" s="228">
        <v>333</v>
      </c>
      <c r="C51" s="227" t="s">
        <v>106</v>
      </c>
      <c r="D51" s="227" t="s">
        <v>110</v>
      </c>
      <c r="E51" s="233" t="s">
        <v>267</v>
      </c>
      <c r="F51" s="234" t="s">
        <v>268</v>
      </c>
      <c r="G51" s="219" t="s">
        <v>49</v>
      </c>
      <c r="H51" s="235">
        <v>6.4</v>
      </c>
      <c r="I51" s="232" t="s">
        <v>269</v>
      </c>
      <c r="J51" s="174">
        <v>7211893.59</v>
      </c>
      <c r="K51" s="205">
        <f>ROUNDDOWN(J51*M51,2)</f>
        <v>3605946.79</v>
      </c>
      <c r="L51" s="174">
        <f>J51-K51</f>
        <v>3605946.8</v>
      </c>
      <c r="M51" s="192">
        <v>0.5</v>
      </c>
      <c r="N51" s="193">
        <v>0</v>
      </c>
      <c r="O51" s="193">
        <v>0</v>
      </c>
      <c r="P51" s="178">
        <v>0</v>
      </c>
      <c r="Q51" s="178">
        <f>K51</f>
        <v>3605946.79</v>
      </c>
      <c r="R51" s="177"/>
      <c r="S51" s="177"/>
      <c r="T51" s="177"/>
      <c r="U51" s="177"/>
      <c r="V51" s="177"/>
      <c r="W51" s="177"/>
      <c r="X51" s="144" t="b">
        <f t="shared" si="16"/>
        <v>1</v>
      </c>
      <c r="Y51" s="215">
        <f t="shared" si="17"/>
        <v>0.5</v>
      </c>
      <c r="Z51" s="216" t="b">
        <f t="shared" si="18"/>
        <v>1</v>
      </c>
      <c r="AA51" s="216" t="b">
        <f t="shared" si="19"/>
        <v>1</v>
      </c>
      <c r="AB51" s="203"/>
    </row>
    <row r="52" spans="1:28" s="204" customFormat="1" ht="36.75" customHeight="1">
      <c r="A52" s="227">
        <v>50</v>
      </c>
      <c r="B52" s="227">
        <v>256</v>
      </c>
      <c r="C52" s="227" t="s">
        <v>106</v>
      </c>
      <c r="D52" s="227" t="s">
        <v>101</v>
      </c>
      <c r="E52" s="233" t="s">
        <v>264</v>
      </c>
      <c r="F52" s="234" t="s">
        <v>270</v>
      </c>
      <c r="G52" s="219" t="s">
        <v>47</v>
      </c>
      <c r="H52" s="235">
        <v>3.4</v>
      </c>
      <c r="I52" s="232" t="s">
        <v>271</v>
      </c>
      <c r="J52" s="174">
        <v>6215000</v>
      </c>
      <c r="K52" s="205">
        <f t="shared" si="14"/>
        <v>3107500</v>
      </c>
      <c r="L52" s="174">
        <f t="shared" si="15"/>
        <v>3107500</v>
      </c>
      <c r="M52" s="192">
        <v>0.5</v>
      </c>
      <c r="N52" s="193">
        <v>0</v>
      </c>
      <c r="O52" s="193">
        <v>0</v>
      </c>
      <c r="P52" s="178">
        <v>0</v>
      </c>
      <c r="Q52" s="178">
        <f>K52</f>
        <v>3107500</v>
      </c>
      <c r="R52" s="177"/>
      <c r="S52" s="177"/>
      <c r="T52" s="177"/>
      <c r="U52" s="177"/>
      <c r="V52" s="177"/>
      <c r="W52" s="177"/>
      <c r="X52" s="144" t="b">
        <f t="shared" si="16"/>
        <v>1</v>
      </c>
      <c r="Y52" s="215">
        <f t="shared" si="17"/>
        <v>0.5</v>
      </c>
      <c r="Z52" s="216" t="b">
        <f t="shared" si="18"/>
        <v>1</v>
      </c>
      <c r="AA52" s="216" t="b">
        <f t="shared" si="19"/>
        <v>1</v>
      </c>
      <c r="AB52" s="203"/>
    </row>
    <row r="53" spans="1:28" s="204" customFormat="1" ht="36.75" customHeight="1">
      <c r="A53" s="220">
        <v>51</v>
      </c>
      <c r="B53" s="220">
        <v>201</v>
      </c>
      <c r="C53" s="220" t="s">
        <v>65</v>
      </c>
      <c r="D53" s="220" t="s">
        <v>83</v>
      </c>
      <c r="E53" s="224" t="s">
        <v>272</v>
      </c>
      <c r="F53" s="221" t="s">
        <v>273</v>
      </c>
      <c r="G53" s="184" t="s">
        <v>50</v>
      </c>
      <c r="H53" s="222">
        <v>1.05</v>
      </c>
      <c r="I53" s="223" t="s">
        <v>274</v>
      </c>
      <c r="J53" s="37">
        <v>8774031.65</v>
      </c>
      <c r="K53" s="173">
        <f t="shared" si="14"/>
        <v>4387015.82</v>
      </c>
      <c r="L53" s="37">
        <f t="shared" si="15"/>
        <v>4387015.83</v>
      </c>
      <c r="M53" s="183">
        <v>0.5</v>
      </c>
      <c r="N53" s="175">
        <v>0</v>
      </c>
      <c r="O53" s="175">
        <v>0</v>
      </c>
      <c r="P53" s="176">
        <v>0</v>
      </c>
      <c r="Q53" s="176">
        <f>ROUNDDOWN(2632209.49*M53,2)</f>
        <v>1316104.74</v>
      </c>
      <c r="R53" s="176">
        <f>6141822.16*M53</f>
        <v>3070911.08</v>
      </c>
      <c r="S53" s="176"/>
      <c r="T53" s="176"/>
      <c r="U53" s="176"/>
      <c r="V53" s="176"/>
      <c r="W53" s="176"/>
      <c r="X53" s="144" t="b">
        <f t="shared" si="16"/>
        <v>1</v>
      </c>
      <c r="Y53" s="215">
        <f t="shared" si="17"/>
        <v>0.5</v>
      </c>
      <c r="Z53" s="216" t="b">
        <f t="shared" si="18"/>
        <v>1</v>
      </c>
      <c r="AA53" s="216" t="b">
        <f t="shared" si="19"/>
        <v>1</v>
      </c>
      <c r="AB53" s="203"/>
    </row>
    <row r="54" spans="1:28" s="204" customFormat="1" ht="36.75" customHeight="1">
      <c r="A54" s="227">
        <v>52</v>
      </c>
      <c r="B54" s="227">
        <v>424</v>
      </c>
      <c r="C54" s="227" t="s">
        <v>106</v>
      </c>
      <c r="D54" s="227" t="s">
        <v>275</v>
      </c>
      <c r="E54" s="233" t="s">
        <v>276</v>
      </c>
      <c r="F54" s="234" t="s">
        <v>277</v>
      </c>
      <c r="G54" s="219" t="s">
        <v>75</v>
      </c>
      <c r="H54" s="235">
        <v>0.78</v>
      </c>
      <c r="I54" s="236" t="s">
        <v>278</v>
      </c>
      <c r="J54" s="174">
        <v>679328</v>
      </c>
      <c r="K54" s="205">
        <f t="shared" si="14"/>
        <v>339664</v>
      </c>
      <c r="L54" s="174">
        <f t="shared" si="15"/>
        <v>339664</v>
      </c>
      <c r="M54" s="192">
        <v>0.5</v>
      </c>
      <c r="N54" s="193">
        <v>0</v>
      </c>
      <c r="O54" s="193">
        <v>0</v>
      </c>
      <c r="P54" s="178">
        <v>0</v>
      </c>
      <c r="Q54" s="178">
        <f>K54</f>
        <v>339664</v>
      </c>
      <c r="R54" s="177"/>
      <c r="S54" s="177"/>
      <c r="T54" s="177"/>
      <c r="U54" s="177"/>
      <c r="V54" s="177"/>
      <c r="W54" s="177"/>
      <c r="X54" s="144" t="b">
        <f t="shared" si="16"/>
        <v>1</v>
      </c>
      <c r="Y54" s="215">
        <f t="shared" si="17"/>
        <v>0.5</v>
      </c>
      <c r="Z54" s="216" t="b">
        <f t="shared" si="18"/>
        <v>1</v>
      </c>
      <c r="AA54" s="216" t="b">
        <f t="shared" si="19"/>
        <v>1</v>
      </c>
      <c r="AB54" s="203"/>
    </row>
    <row r="55" spans="1:28" s="204" customFormat="1" ht="36.75" customHeight="1">
      <c r="A55" s="227">
        <v>53</v>
      </c>
      <c r="B55" s="228">
        <v>119</v>
      </c>
      <c r="C55" s="227" t="s">
        <v>106</v>
      </c>
      <c r="D55" s="227" t="s">
        <v>48</v>
      </c>
      <c r="E55" s="233" t="s">
        <v>111</v>
      </c>
      <c r="F55" s="234" t="s">
        <v>279</v>
      </c>
      <c r="G55" s="219" t="s">
        <v>49</v>
      </c>
      <c r="H55" s="235">
        <v>2.087</v>
      </c>
      <c r="I55" s="236" t="s">
        <v>280</v>
      </c>
      <c r="J55" s="174">
        <v>6985000</v>
      </c>
      <c r="K55" s="205">
        <f t="shared" si="14"/>
        <v>3492500</v>
      </c>
      <c r="L55" s="174">
        <f t="shared" si="15"/>
        <v>3492500</v>
      </c>
      <c r="M55" s="192">
        <v>0.5</v>
      </c>
      <c r="N55" s="193">
        <v>0</v>
      </c>
      <c r="O55" s="193">
        <v>0</v>
      </c>
      <c r="P55" s="178">
        <v>0</v>
      </c>
      <c r="Q55" s="178">
        <f>K55</f>
        <v>3492500</v>
      </c>
      <c r="R55" s="177"/>
      <c r="S55" s="177"/>
      <c r="T55" s="177"/>
      <c r="U55" s="177"/>
      <c r="V55" s="177"/>
      <c r="W55" s="177"/>
      <c r="X55" s="144" t="b">
        <f t="shared" si="16"/>
        <v>1</v>
      </c>
      <c r="Y55" s="215">
        <f t="shared" si="17"/>
        <v>0.5</v>
      </c>
      <c r="Z55" s="216" t="b">
        <f t="shared" si="18"/>
        <v>1</v>
      </c>
      <c r="AA55" s="216" t="b">
        <f t="shared" si="19"/>
        <v>1</v>
      </c>
      <c r="AB55" s="203"/>
    </row>
    <row r="56" spans="1:28" s="204" customFormat="1" ht="36.75" customHeight="1">
      <c r="A56" s="220">
        <v>54</v>
      </c>
      <c r="B56" s="220">
        <v>121</v>
      </c>
      <c r="C56" s="220" t="s">
        <v>65</v>
      </c>
      <c r="D56" s="220" t="s">
        <v>48</v>
      </c>
      <c r="E56" s="224" t="s">
        <v>111</v>
      </c>
      <c r="F56" s="221" t="s">
        <v>281</v>
      </c>
      <c r="G56" s="184" t="s">
        <v>49</v>
      </c>
      <c r="H56" s="222">
        <v>1.064</v>
      </c>
      <c r="I56" s="223" t="s">
        <v>282</v>
      </c>
      <c r="J56" s="37">
        <v>4143000</v>
      </c>
      <c r="K56" s="173">
        <f>ROUNDDOWN(J56*M56,2)</f>
        <v>2071500</v>
      </c>
      <c r="L56" s="37">
        <f>J56-K56</f>
        <v>2071500</v>
      </c>
      <c r="M56" s="188">
        <v>0.5</v>
      </c>
      <c r="N56" s="175">
        <v>0</v>
      </c>
      <c r="O56" s="175">
        <v>0</v>
      </c>
      <c r="P56" s="176">
        <v>0</v>
      </c>
      <c r="Q56" s="176">
        <f>2643000*M56</f>
        <v>1321500</v>
      </c>
      <c r="R56" s="176">
        <f>1500000*M56</f>
        <v>750000</v>
      </c>
      <c r="S56" s="176"/>
      <c r="T56" s="176"/>
      <c r="U56" s="176"/>
      <c r="V56" s="176"/>
      <c r="W56" s="176"/>
      <c r="X56" s="144" t="b">
        <f t="shared" si="16"/>
        <v>1</v>
      </c>
      <c r="Y56" s="215">
        <f t="shared" si="17"/>
        <v>0.5</v>
      </c>
      <c r="Z56" s="216" t="b">
        <f t="shared" si="18"/>
        <v>1</v>
      </c>
      <c r="AA56" s="216" t="b">
        <f t="shared" si="19"/>
        <v>1</v>
      </c>
      <c r="AB56" s="203"/>
    </row>
    <row r="57" spans="1:28" s="204" customFormat="1" ht="48" customHeight="1">
      <c r="A57" s="220">
        <v>55</v>
      </c>
      <c r="B57" s="220">
        <v>106</v>
      </c>
      <c r="C57" s="220" t="s">
        <v>65</v>
      </c>
      <c r="D57" s="220" t="s">
        <v>48</v>
      </c>
      <c r="E57" s="224" t="s">
        <v>111</v>
      </c>
      <c r="F57" s="221" t="s">
        <v>283</v>
      </c>
      <c r="G57" s="184" t="s">
        <v>49</v>
      </c>
      <c r="H57" s="222">
        <v>0.6</v>
      </c>
      <c r="I57" s="223" t="s">
        <v>263</v>
      </c>
      <c r="J57" s="37">
        <v>2000000</v>
      </c>
      <c r="K57" s="173">
        <f t="shared" si="14"/>
        <v>1000000</v>
      </c>
      <c r="L57" s="37">
        <f t="shared" si="15"/>
        <v>1000000</v>
      </c>
      <c r="M57" s="183">
        <v>0.5</v>
      </c>
      <c r="N57" s="175">
        <v>0</v>
      </c>
      <c r="O57" s="175">
        <v>0</v>
      </c>
      <c r="P57" s="176">
        <v>0</v>
      </c>
      <c r="Q57" s="176">
        <f>500000*M57</f>
        <v>250000</v>
      </c>
      <c r="R57" s="176">
        <f>1000000*M57</f>
        <v>500000</v>
      </c>
      <c r="S57" s="176">
        <f>500000*M57</f>
        <v>250000</v>
      </c>
      <c r="T57" s="176"/>
      <c r="U57" s="176"/>
      <c r="V57" s="176"/>
      <c r="W57" s="176"/>
      <c r="X57" s="144" t="b">
        <f t="shared" si="16"/>
        <v>1</v>
      </c>
      <c r="Y57" s="215">
        <f t="shared" si="17"/>
        <v>0.5</v>
      </c>
      <c r="Z57" s="216" t="b">
        <f t="shared" si="18"/>
        <v>1</v>
      </c>
      <c r="AA57" s="216" t="b">
        <f t="shared" si="19"/>
        <v>1</v>
      </c>
      <c r="AB57" s="203"/>
    </row>
    <row r="58" spans="1:28" s="204" customFormat="1" ht="42.75" customHeight="1">
      <c r="A58" s="220">
        <v>56</v>
      </c>
      <c r="B58" s="220">
        <v>165</v>
      </c>
      <c r="C58" s="220" t="s">
        <v>65</v>
      </c>
      <c r="D58" s="220" t="s">
        <v>68</v>
      </c>
      <c r="E58" s="224" t="s">
        <v>255</v>
      </c>
      <c r="F58" s="221" t="s">
        <v>284</v>
      </c>
      <c r="G58" s="184" t="s">
        <v>50</v>
      </c>
      <c r="H58" s="222">
        <v>1.9</v>
      </c>
      <c r="I58" s="223" t="s">
        <v>285</v>
      </c>
      <c r="J58" s="37">
        <v>2600000</v>
      </c>
      <c r="K58" s="173">
        <f t="shared" si="14"/>
        <v>1300000</v>
      </c>
      <c r="L58" s="37">
        <f t="shared" si="15"/>
        <v>1300000</v>
      </c>
      <c r="M58" s="183">
        <v>0.5</v>
      </c>
      <c r="N58" s="175">
        <v>0</v>
      </c>
      <c r="O58" s="175">
        <v>0</v>
      </c>
      <c r="P58" s="176">
        <v>0</v>
      </c>
      <c r="Q58" s="176">
        <f>90000*M58</f>
        <v>45000</v>
      </c>
      <c r="R58" s="176">
        <f>1000000*M58</f>
        <v>500000</v>
      </c>
      <c r="S58" s="176">
        <f>1510000*M58</f>
        <v>755000</v>
      </c>
      <c r="T58" s="176"/>
      <c r="U58" s="176"/>
      <c r="V58" s="176"/>
      <c r="W58" s="176"/>
      <c r="X58" s="144" t="b">
        <f t="shared" si="16"/>
        <v>1</v>
      </c>
      <c r="Y58" s="215">
        <f t="shared" si="17"/>
        <v>0.5</v>
      </c>
      <c r="Z58" s="216" t="b">
        <f t="shared" si="18"/>
        <v>1</v>
      </c>
      <c r="AA58" s="216" t="b">
        <f t="shared" si="19"/>
        <v>1</v>
      </c>
      <c r="AB58" s="203"/>
    </row>
    <row r="59" spans="1:28" s="204" customFormat="1" ht="45" customHeight="1">
      <c r="A59" s="220">
        <v>57</v>
      </c>
      <c r="B59" s="220">
        <v>170</v>
      </c>
      <c r="C59" s="220" t="s">
        <v>65</v>
      </c>
      <c r="D59" s="220" t="s">
        <v>68</v>
      </c>
      <c r="E59" s="224" t="s">
        <v>255</v>
      </c>
      <c r="F59" s="221" t="s">
        <v>286</v>
      </c>
      <c r="G59" s="184" t="s">
        <v>49</v>
      </c>
      <c r="H59" s="222">
        <v>4.93</v>
      </c>
      <c r="I59" s="223" t="s">
        <v>285</v>
      </c>
      <c r="J59" s="37">
        <v>7250000</v>
      </c>
      <c r="K59" s="173">
        <f>ROUNDDOWN(J59*M59,2)</f>
        <v>3625000</v>
      </c>
      <c r="L59" s="37">
        <f>J59-K59</f>
        <v>3625000</v>
      </c>
      <c r="M59" s="183">
        <v>0.5</v>
      </c>
      <c r="N59" s="175">
        <v>0</v>
      </c>
      <c r="O59" s="175">
        <v>0</v>
      </c>
      <c r="P59" s="176">
        <v>0</v>
      </c>
      <c r="Q59" s="176">
        <f>198000*M59</f>
        <v>99000</v>
      </c>
      <c r="R59" s="176">
        <f>3050000*M59</f>
        <v>1525000</v>
      </c>
      <c r="S59" s="176">
        <f>4002000*M59</f>
        <v>2001000</v>
      </c>
      <c r="T59" s="176"/>
      <c r="U59" s="176"/>
      <c r="V59" s="176"/>
      <c r="W59" s="176"/>
      <c r="X59" s="144" t="b">
        <f t="shared" si="16"/>
        <v>1</v>
      </c>
      <c r="Y59" s="215">
        <f t="shared" si="17"/>
        <v>0.5</v>
      </c>
      <c r="Z59" s="216" t="b">
        <f t="shared" si="18"/>
        <v>1</v>
      </c>
      <c r="AA59" s="216" t="b">
        <f t="shared" si="19"/>
        <v>1</v>
      </c>
      <c r="AB59" s="203"/>
    </row>
    <row r="60" spans="1:28" s="204" customFormat="1" ht="36.75" customHeight="1">
      <c r="A60" s="227">
        <v>58</v>
      </c>
      <c r="B60" s="227">
        <v>334</v>
      </c>
      <c r="C60" s="227" t="s">
        <v>106</v>
      </c>
      <c r="D60" s="227" t="s">
        <v>110</v>
      </c>
      <c r="E60" s="233" t="s">
        <v>267</v>
      </c>
      <c r="F60" s="234" t="s">
        <v>287</v>
      </c>
      <c r="G60" s="219" t="s">
        <v>49</v>
      </c>
      <c r="H60" s="235">
        <v>1.712</v>
      </c>
      <c r="I60" s="236" t="s">
        <v>269</v>
      </c>
      <c r="J60" s="174">
        <v>1742617.36</v>
      </c>
      <c r="K60" s="205">
        <f>ROUNDDOWN(J60*M60,2)</f>
        <v>871308.68</v>
      </c>
      <c r="L60" s="174">
        <f>J60-K60</f>
        <v>871308.68</v>
      </c>
      <c r="M60" s="192">
        <v>0.5</v>
      </c>
      <c r="N60" s="193">
        <v>0</v>
      </c>
      <c r="O60" s="193">
        <v>0</v>
      </c>
      <c r="P60" s="178">
        <v>0</v>
      </c>
      <c r="Q60" s="178">
        <f>K60</f>
        <v>871308.68</v>
      </c>
      <c r="R60" s="177"/>
      <c r="S60" s="177"/>
      <c r="T60" s="177"/>
      <c r="U60" s="177"/>
      <c r="V60" s="177"/>
      <c r="W60" s="177"/>
      <c r="X60" s="144" t="b">
        <f t="shared" si="16"/>
        <v>1</v>
      </c>
      <c r="Y60" s="215">
        <f t="shared" si="17"/>
        <v>0.5</v>
      </c>
      <c r="Z60" s="216" t="b">
        <f t="shared" si="18"/>
        <v>1</v>
      </c>
      <c r="AA60" s="216" t="b">
        <f t="shared" si="19"/>
        <v>1</v>
      </c>
      <c r="AB60" s="203"/>
    </row>
    <row r="61" spans="1:28" s="204" customFormat="1" ht="41.25" customHeight="1">
      <c r="A61" s="220">
        <v>59</v>
      </c>
      <c r="B61" s="220">
        <v>178</v>
      </c>
      <c r="C61" s="220" t="s">
        <v>65</v>
      </c>
      <c r="D61" s="220" t="s">
        <v>251</v>
      </c>
      <c r="E61" s="224" t="s">
        <v>288</v>
      </c>
      <c r="F61" s="221" t="s">
        <v>289</v>
      </c>
      <c r="G61" s="184" t="s">
        <v>47</v>
      </c>
      <c r="H61" s="222">
        <v>3.25</v>
      </c>
      <c r="I61" s="223" t="s">
        <v>290</v>
      </c>
      <c r="J61" s="37">
        <v>8054971.6</v>
      </c>
      <c r="K61" s="173">
        <f>ROUNDDOWN(J61*M61,2)</f>
        <v>4027485.8</v>
      </c>
      <c r="L61" s="37">
        <f>J61-K61</f>
        <v>4027485.8</v>
      </c>
      <c r="M61" s="188">
        <v>0.5</v>
      </c>
      <c r="N61" s="175">
        <v>0</v>
      </c>
      <c r="O61" s="175">
        <v>0</v>
      </c>
      <c r="P61" s="176">
        <v>0</v>
      </c>
      <c r="Q61" s="176">
        <f>3859933.52*M61</f>
        <v>1929966.76</v>
      </c>
      <c r="R61" s="176">
        <f>4195038.08*M61</f>
        <v>2097519.04</v>
      </c>
      <c r="S61" s="176"/>
      <c r="T61" s="176"/>
      <c r="U61" s="176"/>
      <c r="V61" s="176"/>
      <c r="W61" s="176"/>
      <c r="X61" s="144" t="b">
        <f t="shared" si="16"/>
        <v>1</v>
      </c>
      <c r="Y61" s="215">
        <f t="shared" si="17"/>
        <v>0.5</v>
      </c>
      <c r="Z61" s="216" t="b">
        <f t="shared" si="18"/>
        <v>1</v>
      </c>
      <c r="AA61" s="216" t="b">
        <f t="shared" si="19"/>
        <v>1</v>
      </c>
      <c r="AB61" s="203"/>
    </row>
    <row r="62" spans="1:28" s="204" customFormat="1" ht="36.75" customHeight="1">
      <c r="A62" s="227">
        <v>60</v>
      </c>
      <c r="B62" s="227">
        <v>112</v>
      </c>
      <c r="C62" s="227" t="s">
        <v>106</v>
      </c>
      <c r="D62" s="227" t="s">
        <v>48</v>
      </c>
      <c r="E62" s="233" t="s">
        <v>111</v>
      </c>
      <c r="F62" s="234" t="s">
        <v>291</v>
      </c>
      <c r="G62" s="219" t="s">
        <v>50</v>
      </c>
      <c r="H62" s="235">
        <v>5.7</v>
      </c>
      <c r="I62" s="236" t="s">
        <v>280</v>
      </c>
      <c r="J62" s="174">
        <v>11002000</v>
      </c>
      <c r="K62" s="205">
        <f t="shared" si="14"/>
        <v>5501000</v>
      </c>
      <c r="L62" s="174">
        <f t="shared" si="15"/>
        <v>5501000</v>
      </c>
      <c r="M62" s="192">
        <v>0.5</v>
      </c>
      <c r="N62" s="193">
        <v>0</v>
      </c>
      <c r="O62" s="193">
        <v>0</v>
      </c>
      <c r="P62" s="178">
        <v>0</v>
      </c>
      <c r="Q62" s="178">
        <f>K62</f>
        <v>5501000</v>
      </c>
      <c r="R62" s="177"/>
      <c r="S62" s="177"/>
      <c r="T62" s="177"/>
      <c r="U62" s="177"/>
      <c r="V62" s="177"/>
      <c r="W62" s="177"/>
      <c r="X62" s="144" t="b">
        <f t="shared" si="16"/>
        <v>1</v>
      </c>
      <c r="Y62" s="215">
        <f t="shared" si="17"/>
        <v>0.5</v>
      </c>
      <c r="Z62" s="216" t="b">
        <f t="shared" si="18"/>
        <v>1</v>
      </c>
      <c r="AA62" s="216" t="b">
        <f t="shared" si="19"/>
        <v>1</v>
      </c>
      <c r="AB62" s="203"/>
    </row>
    <row r="63" spans="1:28" s="204" customFormat="1" ht="36.75" customHeight="1">
      <c r="A63" s="220">
        <v>61</v>
      </c>
      <c r="B63" s="220">
        <v>218</v>
      </c>
      <c r="C63" s="220" t="s">
        <v>65</v>
      </c>
      <c r="D63" s="220" t="s">
        <v>292</v>
      </c>
      <c r="E63" s="224" t="s">
        <v>293</v>
      </c>
      <c r="F63" s="221" t="s">
        <v>294</v>
      </c>
      <c r="G63" s="184" t="s">
        <v>50</v>
      </c>
      <c r="H63" s="222">
        <v>6.63</v>
      </c>
      <c r="I63" s="223" t="s">
        <v>295</v>
      </c>
      <c r="J63" s="37">
        <v>12402500</v>
      </c>
      <c r="K63" s="173">
        <f t="shared" si="14"/>
        <v>6201250</v>
      </c>
      <c r="L63" s="37">
        <f t="shared" si="15"/>
        <v>6201250</v>
      </c>
      <c r="M63" s="183">
        <v>0.5</v>
      </c>
      <c r="N63" s="175">
        <v>0</v>
      </c>
      <c r="O63" s="175">
        <v>0</v>
      </c>
      <c r="P63" s="176">
        <v>0</v>
      </c>
      <c r="Q63" s="176">
        <f>2500*M63</f>
        <v>1250</v>
      </c>
      <c r="R63" s="176">
        <f>6310000*M63</f>
        <v>3155000</v>
      </c>
      <c r="S63" s="176">
        <f>6090000*M63</f>
        <v>3045000</v>
      </c>
      <c r="T63" s="176"/>
      <c r="U63" s="176"/>
      <c r="V63" s="176"/>
      <c r="W63" s="176"/>
      <c r="X63" s="144" t="b">
        <f t="shared" si="16"/>
        <v>1</v>
      </c>
      <c r="Y63" s="215">
        <f t="shared" si="17"/>
        <v>0.5</v>
      </c>
      <c r="Z63" s="216" t="b">
        <f t="shared" si="18"/>
        <v>1</v>
      </c>
      <c r="AA63" s="216" t="b">
        <f t="shared" si="19"/>
        <v>1</v>
      </c>
      <c r="AB63" s="203"/>
    </row>
    <row r="64" spans="1:28" s="204" customFormat="1" ht="36.75" customHeight="1">
      <c r="A64" s="220">
        <v>62</v>
      </c>
      <c r="B64" s="220">
        <v>175</v>
      </c>
      <c r="C64" s="220" t="s">
        <v>65</v>
      </c>
      <c r="D64" s="220" t="s">
        <v>251</v>
      </c>
      <c r="E64" s="224" t="s">
        <v>288</v>
      </c>
      <c r="F64" s="221" t="s">
        <v>296</v>
      </c>
      <c r="G64" s="184" t="s">
        <v>49</v>
      </c>
      <c r="H64" s="222">
        <v>6.7</v>
      </c>
      <c r="I64" s="223" t="s">
        <v>290</v>
      </c>
      <c r="J64" s="37">
        <v>22600689.45</v>
      </c>
      <c r="K64" s="173">
        <f>ROUNDDOWN(J64*M64,2)</f>
        <v>11300344.72</v>
      </c>
      <c r="L64" s="37">
        <f>J64-K64</f>
        <v>11300344.729999999</v>
      </c>
      <c r="M64" s="183">
        <v>0.5</v>
      </c>
      <c r="N64" s="175">
        <v>0</v>
      </c>
      <c r="O64" s="175">
        <v>0</v>
      </c>
      <c r="P64" s="176">
        <v>0</v>
      </c>
      <c r="Q64" s="176">
        <f>9488031.44*M64</f>
        <v>4744015.72</v>
      </c>
      <c r="R64" s="176">
        <f>ROUNDDOWN(13112658.01*M64,2)</f>
        <v>6556329</v>
      </c>
      <c r="S64" s="176"/>
      <c r="T64" s="176"/>
      <c r="U64" s="176"/>
      <c r="V64" s="176"/>
      <c r="W64" s="176"/>
      <c r="X64" s="144" t="b">
        <f t="shared" si="16"/>
        <v>1</v>
      </c>
      <c r="Y64" s="215">
        <f t="shared" si="17"/>
        <v>0.5</v>
      </c>
      <c r="Z64" s="216" t="b">
        <f t="shared" si="18"/>
        <v>1</v>
      </c>
      <c r="AA64" s="216" t="b">
        <f t="shared" si="19"/>
        <v>1</v>
      </c>
      <c r="AB64" s="203"/>
    </row>
    <row r="65" spans="1:28" s="204" customFormat="1" ht="36.75" customHeight="1">
      <c r="A65" s="220">
        <v>63</v>
      </c>
      <c r="B65" s="220">
        <v>168</v>
      </c>
      <c r="C65" s="220" t="s">
        <v>65</v>
      </c>
      <c r="D65" s="220" t="s">
        <v>68</v>
      </c>
      <c r="E65" s="224" t="s">
        <v>255</v>
      </c>
      <c r="F65" s="221" t="s">
        <v>297</v>
      </c>
      <c r="G65" s="184" t="s">
        <v>50</v>
      </c>
      <c r="H65" s="222">
        <v>3</v>
      </c>
      <c r="I65" s="223" t="s">
        <v>257</v>
      </c>
      <c r="J65" s="37">
        <v>3940000</v>
      </c>
      <c r="K65" s="173">
        <f t="shared" si="14"/>
        <v>1970000</v>
      </c>
      <c r="L65" s="37">
        <f t="shared" si="15"/>
        <v>1970000</v>
      </c>
      <c r="M65" s="183">
        <v>0.5</v>
      </c>
      <c r="N65" s="175">
        <v>0</v>
      </c>
      <c r="O65" s="175">
        <v>0</v>
      </c>
      <c r="P65" s="176">
        <v>0</v>
      </c>
      <c r="Q65" s="176">
        <f>120000*M65</f>
        <v>60000</v>
      </c>
      <c r="R65" s="176">
        <f>1800000*M65</f>
        <v>900000</v>
      </c>
      <c r="S65" s="176">
        <f>2020000*M65</f>
        <v>1010000</v>
      </c>
      <c r="T65" s="176"/>
      <c r="U65" s="176"/>
      <c r="V65" s="176"/>
      <c r="W65" s="176"/>
      <c r="X65" s="144" t="b">
        <f t="shared" si="16"/>
        <v>1</v>
      </c>
      <c r="Y65" s="215">
        <f t="shared" si="17"/>
        <v>0.5</v>
      </c>
      <c r="Z65" s="216" t="b">
        <f t="shared" si="18"/>
        <v>1</v>
      </c>
      <c r="AA65" s="216" t="b">
        <f t="shared" si="19"/>
        <v>1</v>
      </c>
      <c r="AB65" s="203"/>
    </row>
    <row r="66" spans="1:28" s="204" customFormat="1" ht="36.75" customHeight="1">
      <c r="A66" s="227">
        <v>64</v>
      </c>
      <c r="B66" s="228">
        <v>258</v>
      </c>
      <c r="C66" s="227" t="s">
        <v>106</v>
      </c>
      <c r="D66" s="227" t="s">
        <v>101</v>
      </c>
      <c r="E66" s="233" t="s">
        <v>264</v>
      </c>
      <c r="F66" s="234" t="s">
        <v>298</v>
      </c>
      <c r="G66" s="219" t="s">
        <v>47</v>
      </c>
      <c r="H66" s="235">
        <v>3.05</v>
      </c>
      <c r="I66" s="236" t="s">
        <v>271</v>
      </c>
      <c r="J66" s="174">
        <v>5135000</v>
      </c>
      <c r="K66" s="205">
        <f>ROUNDDOWN(J66*M66,2)</f>
        <v>2567500</v>
      </c>
      <c r="L66" s="174">
        <f aca="true" t="shared" si="20" ref="L66:L85">J66-K66</f>
        <v>2567500</v>
      </c>
      <c r="M66" s="192">
        <v>0.5</v>
      </c>
      <c r="N66" s="193">
        <v>0</v>
      </c>
      <c r="O66" s="193">
        <v>0</v>
      </c>
      <c r="P66" s="178">
        <v>0</v>
      </c>
      <c r="Q66" s="178">
        <f>K66</f>
        <v>2567500</v>
      </c>
      <c r="R66" s="177"/>
      <c r="S66" s="177"/>
      <c r="T66" s="177"/>
      <c r="U66" s="177"/>
      <c r="V66" s="177"/>
      <c r="W66" s="177"/>
      <c r="X66" s="144" t="b">
        <f t="shared" si="16"/>
        <v>1</v>
      </c>
      <c r="Y66" s="215">
        <f t="shared" si="17"/>
        <v>0.5</v>
      </c>
      <c r="Z66" s="216" t="b">
        <f t="shared" si="18"/>
        <v>1</v>
      </c>
      <c r="AA66" s="216" t="b">
        <f t="shared" si="19"/>
        <v>1</v>
      </c>
      <c r="AB66" s="203"/>
    </row>
    <row r="67" spans="1:28" s="204" customFormat="1" ht="36.75" customHeight="1">
      <c r="A67" s="227">
        <v>65</v>
      </c>
      <c r="B67" s="228">
        <v>251</v>
      </c>
      <c r="C67" s="227" t="s">
        <v>106</v>
      </c>
      <c r="D67" s="227" t="s">
        <v>101</v>
      </c>
      <c r="E67" s="233" t="s">
        <v>264</v>
      </c>
      <c r="F67" s="234" t="s">
        <v>299</v>
      </c>
      <c r="G67" s="219" t="s">
        <v>47</v>
      </c>
      <c r="H67" s="235">
        <v>4.08</v>
      </c>
      <c r="I67" s="236" t="s">
        <v>271</v>
      </c>
      <c r="J67" s="244">
        <v>6185000</v>
      </c>
      <c r="K67" s="205">
        <f>ROUNDDOWN(J67*M67,2)</f>
        <v>3092500</v>
      </c>
      <c r="L67" s="174">
        <f t="shared" si="20"/>
        <v>3092500</v>
      </c>
      <c r="M67" s="192">
        <v>0.5</v>
      </c>
      <c r="N67" s="193">
        <v>0</v>
      </c>
      <c r="O67" s="193">
        <v>0</v>
      </c>
      <c r="P67" s="178">
        <v>0</v>
      </c>
      <c r="Q67" s="178">
        <f>K67</f>
        <v>3092500</v>
      </c>
      <c r="R67" s="177"/>
      <c r="S67" s="177"/>
      <c r="T67" s="177"/>
      <c r="U67" s="177"/>
      <c r="V67" s="177"/>
      <c r="W67" s="177"/>
      <c r="X67" s="144" t="b">
        <f t="shared" si="16"/>
        <v>1</v>
      </c>
      <c r="Y67" s="215">
        <f t="shared" si="17"/>
        <v>0.5</v>
      </c>
      <c r="Z67" s="216" t="b">
        <f t="shared" si="18"/>
        <v>1</v>
      </c>
      <c r="AA67" s="216" t="b">
        <f t="shared" si="19"/>
        <v>1</v>
      </c>
      <c r="AB67" s="203"/>
    </row>
    <row r="68" spans="1:28" s="204" customFormat="1" ht="36.75" customHeight="1">
      <c r="A68" s="227">
        <v>66</v>
      </c>
      <c r="B68" s="228">
        <v>216</v>
      </c>
      <c r="C68" s="227" t="s">
        <v>106</v>
      </c>
      <c r="D68" s="227" t="s">
        <v>292</v>
      </c>
      <c r="E68" s="233" t="s">
        <v>293</v>
      </c>
      <c r="F68" s="234" t="s">
        <v>300</v>
      </c>
      <c r="G68" s="219" t="s">
        <v>50</v>
      </c>
      <c r="H68" s="235">
        <v>4.285</v>
      </c>
      <c r="I68" s="236" t="s">
        <v>301</v>
      </c>
      <c r="J68" s="244">
        <v>7579000</v>
      </c>
      <c r="K68" s="205">
        <f aca="true" t="shared" si="21" ref="K68:K82">ROUNDDOWN(J68*M68,2)</f>
        <v>3789500</v>
      </c>
      <c r="L68" s="174">
        <f t="shared" si="20"/>
        <v>3789500</v>
      </c>
      <c r="M68" s="192">
        <v>0.5</v>
      </c>
      <c r="N68" s="193">
        <v>0</v>
      </c>
      <c r="O68" s="193">
        <v>0</v>
      </c>
      <c r="P68" s="178">
        <v>0</v>
      </c>
      <c r="Q68" s="178">
        <f>K68</f>
        <v>3789500</v>
      </c>
      <c r="R68" s="177"/>
      <c r="S68" s="177"/>
      <c r="T68" s="177"/>
      <c r="U68" s="177"/>
      <c r="V68" s="177"/>
      <c r="W68" s="177"/>
      <c r="X68" s="144" t="b">
        <f t="shared" si="16"/>
        <v>1</v>
      </c>
      <c r="Y68" s="215">
        <f t="shared" si="17"/>
        <v>0.5</v>
      </c>
      <c r="Z68" s="216" t="b">
        <f t="shared" si="18"/>
        <v>1</v>
      </c>
      <c r="AA68" s="216" t="b">
        <f t="shared" si="19"/>
        <v>1</v>
      </c>
      <c r="AB68" s="203"/>
    </row>
    <row r="69" spans="1:28" s="204" customFormat="1" ht="40.5" customHeight="1">
      <c r="A69" s="220">
        <v>67</v>
      </c>
      <c r="B69" s="220">
        <v>166</v>
      </c>
      <c r="C69" s="220" t="s">
        <v>65</v>
      </c>
      <c r="D69" s="220" t="s">
        <v>68</v>
      </c>
      <c r="E69" s="224" t="s">
        <v>255</v>
      </c>
      <c r="F69" s="221" t="s">
        <v>302</v>
      </c>
      <c r="G69" s="184" t="s">
        <v>49</v>
      </c>
      <c r="H69" s="222">
        <v>8.75</v>
      </c>
      <c r="I69" s="223" t="s">
        <v>303</v>
      </c>
      <c r="J69" s="37">
        <v>13430000</v>
      </c>
      <c r="K69" s="173">
        <f>ROUNDDOWN(J69*M69,2)</f>
        <v>6715000</v>
      </c>
      <c r="L69" s="37">
        <f t="shared" si="20"/>
        <v>6715000</v>
      </c>
      <c r="M69" s="183">
        <v>0.5</v>
      </c>
      <c r="N69" s="175">
        <v>0</v>
      </c>
      <c r="O69" s="175">
        <v>0</v>
      </c>
      <c r="P69" s="176">
        <v>0</v>
      </c>
      <c r="Q69" s="176">
        <f>4000000*M69</f>
        <v>2000000</v>
      </c>
      <c r="R69" s="176">
        <f>2430000*M69</f>
        <v>1215000</v>
      </c>
      <c r="S69" s="176">
        <f>7000000*M69</f>
        <v>3500000</v>
      </c>
      <c r="T69" s="176"/>
      <c r="U69" s="176"/>
      <c r="V69" s="176"/>
      <c r="W69" s="176"/>
      <c r="X69" s="144" t="b">
        <f t="shared" si="16"/>
        <v>1</v>
      </c>
      <c r="Y69" s="215">
        <f t="shared" si="17"/>
        <v>0.5</v>
      </c>
      <c r="Z69" s="216" t="b">
        <f t="shared" si="18"/>
        <v>1</v>
      </c>
      <c r="AA69" s="216" t="b">
        <f t="shared" si="19"/>
        <v>1</v>
      </c>
      <c r="AB69" s="203"/>
    </row>
    <row r="70" spans="1:28" s="204" customFormat="1" ht="36.75" customHeight="1">
      <c r="A70" s="227">
        <v>68</v>
      </c>
      <c r="B70" s="228">
        <v>380</v>
      </c>
      <c r="C70" s="227" t="s">
        <v>106</v>
      </c>
      <c r="D70" s="227" t="s">
        <v>304</v>
      </c>
      <c r="E70" s="233" t="s">
        <v>305</v>
      </c>
      <c r="F70" s="234" t="s">
        <v>306</v>
      </c>
      <c r="G70" s="219" t="s">
        <v>50</v>
      </c>
      <c r="H70" s="235">
        <v>0.99</v>
      </c>
      <c r="I70" s="236" t="s">
        <v>307</v>
      </c>
      <c r="J70" s="174">
        <v>1336500</v>
      </c>
      <c r="K70" s="205">
        <f t="shared" si="21"/>
        <v>668250</v>
      </c>
      <c r="L70" s="174">
        <f t="shared" si="20"/>
        <v>668250</v>
      </c>
      <c r="M70" s="192">
        <v>0.5</v>
      </c>
      <c r="N70" s="193">
        <v>0</v>
      </c>
      <c r="O70" s="193">
        <v>0</v>
      </c>
      <c r="P70" s="178">
        <v>0</v>
      </c>
      <c r="Q70" s="178">
        <f>K70</f>
        <v>668250</v>
      </c>
      <c r="R70" s="177"/>
      <c r="S70" s="177"/>
      <c r="T70" s="177"/>
      <c r="U70" s="177"/>
      <c r="V70" s="177"/>
      <c r="W70" s="177"/>
      <c r="X70" s="144" t="b">
        <f t="shared" si="16"/>
        <v>1</v>
      </c>
      <c r="Y70" s="215">
        <f t="shared" si="17"/>
        <v>0.5</v>
      </c>
      <c r="Z70" s="216" t="b">
        <f t="shared" si="18"/>
        <v>1</v>
      </c>
      <c r="AA70" s="216" t="b">
        <f t="shared" si="19"/>
        <v>1</v>
      </c>
      <c r="AB70" s="203"/>
    </row>
    <row r="71" spans="1:28" s="204" customFormat="1" ht="36.75" customHeight="1">
      <c r="A71" s="220">
        <v>69</v>
      </c>
      <c r="B71" s="220">
        <v>177</v>
      </c>
      <c r="C71" s="220" t="s">
        <v>65</v>
      </c>
      <c r="D71" s="220" t="s">
        <v>251</v>
      </c>
      <c r="E71" s="224" t="s">
        <v>288</v>
      </c>
      <c r="F71" s="221" t="s">
        <v>308</v>
      </c>
      <c r="G71" s="184" t="s">
        <v>75</v>
      </c>
      <c r="H71" s="222">
        <v>7.033</v>
      </c>
      <c r="I71" s="223" t="s">
        <v>309</v>
      </c>
      <c r="J71" s="37">
        <v>11834498.91</v>
      </c>
      <c r="K71" s="173">
        <f t="shared" si="21"/>
        <v>5917249.45</v>
      </c>
      <c r="L71" s="37">
        <f t="shared" si="20"/>
        <v>5917249.46</v>
      </c>
      <c r="M71" s="183">
        <v>0.5</v>
      </c>
      <c r="N71" s="175">
        <v>0</v>
      </c>
      <c r="O71" s="175">
        <v>0</v>
      </c>
      <c r="P71" s="176">
        <v>0</v>
      </c>
      <c r="Q71" s="176">
        <f>ROUNDDOWN(608123.09*M71,2)</f>
        <v>304061.54</v>
      </c>
      <c r="R71" s="176">
        <f>ROUNDDOWN(3585083.3*M71,2)</f>
        <v>1792541.65</v>
      </c>
      <c r="S71" s="176">
        <f>7641292.52*M71</f>
        <v>3820646.26</v>
      </c>
      <c r="T71" s="176"/>
      <c r="U71" s="176"/>
      <c r="V71" s="176"/>
      <c r="W71" s="176"/>
      <c r="X71" s="144" t="b">
        <f t="shared" si="16"/>
        <v>1</v>
      </c>
      <c r="Y71" s="215">
        <f t="shared" si="17"/>
        <v>0.5</v>
      </c>
      <c r="Z71" s="216" t="b">
        <f t="shared" si="18"/>
        <v>1</v>
      </c>
      <c r="AA71" s="216" t="b">
        <f t="shared" si="19"/>
        <v>1</v>
      </c>
      <c r="AB71" s="203"/>
    </row>
    <row r="72" spans="1:28" s="204" customFormat="1" ht="36.75" customHeight="1">
      <c r="A72" s="220">
        <v>70</v>
      </c>
      <c r="B72" s="220">
        <v>126</v>
      </c>
      <c r="C72" s="220" t="s">
        <v>65</v>
      </c>
      <c r="D72" s="220" t="s">
        <v>48</v>
      </c>
      <c r="E72" s="224" t="s">
        <v>111</v>
      </c>
      <c r="F72" s="221" t="s">
        <v>310</v>
      </c>
      <c r="G72" s="184" t="s">
        <v>49</v>
      </c>
      <c r="H72" s="222">
        <v>0.902</v>
      </c>
      <c r="I72" s="223" t="s">
        <v>311</v>
      </c>
      <c r="J72" s="37">
        <v>1880000</v>
      </c>
      <c r="K72" s="173">
        <f>ROUNDDOWN(J72*M72,2)</f>
        <v>940000</v>
      </c>
      <c r="L72" s="37">
        <f t="shared" si="20"/>
        <v>940000</v>
      </c>
      <c r="M72" s="183">
        <v>0.5</v>
      </c>
      <c r="N72" s="175">
        <v>0</v>
      </c>
      <c r="O72" s="175">
        <v>0</v>
      </c>
      <c r="P72" s="176">
        <v>0</v>
      </c>
      <c r="Q72" s="176">
        <f>480000*M72</f>
        <v>240000</v>
      </c>
      <c r="R72" s="176">
        <f>900000*M72</f>
        <v>450000</v>
      </c>
      <c r="S72" s="176">
        <f>500000*M72</f>
        <v>250000</v>
      </c>
      <c r="T72" s="176"/>
      <c r="U72" s="176"/>
      <c r="V72" s="176"/>
      <c r="W72" s="176"/>
      <c r="X72" s="144" t="b">
        <f t="shared" si="16"/>
        <v>1</v>
      </c>
      <c r="Y72" s="215">
        <f t="shared" si="17"/>
        <v>0.5</v>
      </c>
      <c r="Z72" s="216" t="b">
        <f t="shared" si="18"/>
        <v>1</v>
      </c>
      <c r="AA72" s="216" t="b">
        <f t="shared" si="19"/>
        <v>1</v>
      </c>
      <c r="AB72" s="203"/>
    </row>
    <row r="73" spans="1:28" s="204" customFormat="1" ht="42" customHeight="1">
      <c r="A73" s="220">
        <v>71</v>
      </c>
      <c r="B73" s="220">
        <v>161</v>
      </c>
      <c r="C73" s="220" t="s">
        <v>65</v>
      </c>
      <c r="D73" s="220" t="s">
        <v>68</v>
      </c>
      <c r="E73" s="224" t="s">
        <v>255</v>
      </c>
      <c r="F73" s="221" t="s">
        <v>312</v>
      </c>
      <c r="G73" s="225" t="s">
        <v>49</v>
      </c>
      <c r="H73" s="237">
        <v>0.88</v>
      </c>
      <c r="I73" s="225" t="s">
        <v>303</v>
      </c>
      <c r="J73" s="173">
        <v>2130000</v>
      </c>
      <c r="K73" s="173">
        <f>ROUNDDOWN(J73*M73,2)</f>
        <v>1065000</v>
      </c>
      <c r="L73" s="37">
        <f t="shared" si="20"/>
        <v>1065000</v>
      </c>
      <c r="M73" s="183">
        <v>0.5</v>
      </c>
      <c r="N73" s="175">
        <v>0</v>
      </c>
      <c r="O73" s="175">
        <v>0</v>
      </c>
      <c r="P73" s="176">
        <v>0</v>
      </c>
      <c r="Q73" s="176">
        <f>80000*M73</f>
        <v>40000</v>
      </c>
      <c r="R73" s="176">
        <f>1000000*M73</f>
        <v>500000</v>
      </c>
      <c r="S73" s="176">
        <f>1050000*M73</f>
        <v>525000</v>
      </c>
      <c r="T73" s="176"/>
      <c r="U73" s="176"/>
      <c r="V73" s="176"/>
      <c r="W73" s="176"/>
      <c r="X73" s="144" t="b">
        <f t="shared" si="16"/>
        <v>1</v>
      </c>
      <c r="Y73" s="215">
        <f t="shared" si="17"/>
        <v>0.5</v>
      </c>
      <c r="Z73" s="216" t="b">
        <f t="shared" si="18"/>
        <v>1</v>
      </c>
      <c r="AA73" s="216" t="b">
        <f t="shared" si="19"/>
        <v>1</v>
      </c>
      <c r="AB73" s="203"/>
    </row>
    <row r="74" spans="1:28" s="276" customFormat="1" ht="36.75" customHeight="1">
      <c r="A74" s="220">
        <v>72</v>
      </c>
      <c r="B74" s="220">
        <v>425</v>
      </c>
      <c r="C74" s="220" t="s">
        <v>65</v>
      </c>
      <c r="D74" s="220" t="s">
        <v>275</v>
      </c>
      <c r="E74" s="224" t="s">
        <v>276</v>
      </c>
      <c r="F74" s="221" t="s">
        <v>313</v>
      </c>
      <c r="G74" s="184" t="s">
        <v>50</v>
      </c>
      <c r="H74" s="222">
        <v>0.373</v>
      </c>
      <c r="I74" s="223" t="s">
        <v>314</v>
      </c>
      <c r="J74" s="37">
        <v>3509192.19</v>
      </c>
      <c r="K74" s="173">
        <f>ROUNDDOWN(J74*M74,2)</f>
        <v>2456434.53</v>
      </c>
      <c r="L74" s="37">
        <f t="shared" si="20"/>
        <v>1052757.6600000001</v>
      </c>
      <c r="M74" s="183">
        <v>0.7</v>
      </c>
      <c r="N74" s="175">
        <v>0</v>
      </c>
      <c r="O74" s="175">
        <v>0</v>
      </c>
      <c r="P74" s="176">
        <v>0</v>
      </c>
      <c r="Q74" s="176">
        <f>K74-R74</f>
        <v>901838.4399999997</v>
      </c>
      <c r="R74" s="176">
        <v>1554596.09</v>
      </c>
      <c r="S74" s="176"/>
      <c r="T74" s="176"/>
      <c r="U74" s="176"/>
      <c r="V74" s="176"/>
      <c r="W74" s="176"/>
      <c r="X74" s="144" t="b">
        <f t="shared" si="16"/>
        <v>1</v>
      </c>
      <c r="Y74" s="215">
        <f t="shared" si="17"/>
        <v>0.7</v>
      </c>
      <c r="Z74" s="216" t="b">
        <f t="shared" si="18"/>
        <v>1</v>
      </c>
      <c r="AA74" s="216" t="b">
        <f t="shared" si="19"/>
        <v>1</v>
      </c>
      <c r="AB74" s="275"/>
    </row>
    <row r="75" spans="1:28" s="204" customFormat="1" ht="36.75" customHeight="1">
      <c r="A75" s="227">
        <v>73</v>
      </c>
      <c r="B75" s="228">
        <v>212</v>
      </c>
      <c r="C75" s="227" t="s">
        <v>106</v>
      </c>
      <c r="D75" s="227" t="s">
        <v>114</v>
      </c>
      <c r="E75" s="233" t="s">
        <v>315</v>
      </c>
      <c r="F75" s="234" t="s">
        <v>316</v>
      </c>
      <c r="G75" s="219" t="s">
        <v>49</v>
      </c>
      <c r="H75" s="235">
        <v>2.094</v>
      </c>
      <c r="I75" s="236" t="s">
        <v>317</v>
      </c>
      <c r="J75" s="174">
        <v>5533391.97</v>
      </c>
      <c r="K75" s="205">
        <f t="shared" si="21"/>
        <v>2766695.98</v>
      </c>
      <c r="L75" s="174">
        <f t="shared" si="20"/>
        <v>2766695.9899999998</v>
      </c>
      <c r="M75" s="192">
        <v>0.5</v>
      </c>
      <c r="N75" s="193">
        <v>0</v>
      </c>
      <c r="O75" s="193">
        <v>0</v>
      </c>
      <c r="P75" s="178">
        <v>0</v>
      </c>
      <c r="Q75" s="178">
        <f aca="true" t="shared" si="22" ref="Q75:Q85">K75</f>
        <v>2766695.98</v>
      </c>
      <c r="R75" s="177"/>
      <c r="S75" s="177"/>
      <c r="T75" s="177"/>
      <c r="U75" s="177"/>
      <c r="V75" s="177"/>
      <c r="W75" s="177"/>
      <c r="X75" s="144" t="b">
        <f t="shared" si="16"/>
        <v>1</v>
      </c>
      <c r="Y75" s="215">
        <f t="shared" si="17"/>
        <v>0.5</v>
      </c>
      <c r="Z75" s="216" t="b">
        <f t="shared" si="18"/>
        <v>1</v>
      </c>
      <c r="AA75" s="216" t="b">
        <f t="shared" si="19"/>
        <v>1</v>
      </c>
      <c r="AB75" s="203"/>
    </row>
    <row r="76" spans="1:28" s="204" customFormat="1" ht="36.75" customHeight="1">
      <c r="A76" s="227">
        <v>74</v>
      </c>
      <c r="B76" s="228">
        <v>96</v>
      </c>
      <c r="C76" s="227" t="s">
        <v>106</v>
      </c>
      <c r="D76" s="227" t="s">
        <v>138</v>
      </c>
      <c r="E76" s="233" t="s">
        <v>318</v>
      </c>
      <c r="F76" s="230" t="s">
        <v>319</v>
      </c>
      <c r="G76" s="219" t="s">
        <v>50</v>
      </c>
      <c r="H76" s="235">
        <v>3.115</v>
      </c>
      <c r="I76" s="228" t="s">
        <v>320</v>
      </c>
      <c r="J76" s="174">
        <v>5140000</v>
      </c>
      <c r="K76" s="205">
        <f t="shared" si="21"/>
        <v>2570000</v>
      </c>
      <c r="L76" s="174">
        <f t="shared" si="20"/>
        <v>2570000</v>
      </c>
      <c r="M76" s="192">
        <v>0.5</v>
      </c>
      <c r="N76" s="193">
        <v>0</v>
      </c>
      <c r="O76" s="193">
        <v>0</v>
      </c>
      <c r="P76" s="178">
        <v>0</v>
      </c>
      <c r="Q76" s="178">
        <f t="shared" si="22"/>
        <v>2570000</v>
      </c>
      <c r="R76" s="177"/>
      <c r="S76" s="177"/>
      <c r="T76" s="177"/>
      <c r="U76" s="177"/>
      <c r="V76" s="177"/>
      <c r="W76" s="177"/>
      <c r="X76" s="144" t="b">
        <f t="shared" si="16"/>
        <v>1</v>
      </c>
      <c r="Y76" s="215">
        <f t="shared" si="17"/>
        <v>0.5</v>
      </c>
      <c r="Z76" s="216" t="b">
        <f t="shared" si="18"/>
        <v>1</v>
      </c>
      <c r="AA76" s="216" t="b">
        <f t="shared" si="19"/>
        <v>1</v>
      </c>
      <c r="AB76" s="203"/>
    </row>
    <row r="77" spans="1:28" s="204" customFormat="1" ht="36.75" customHeight="1">
      <c r="A77" s="227">
        <v>75</v>
      </c>
      <c r="B77" s="228">
        <v>90</v>
      </c>
      <c r="C77" s="227" t="s">
        <v>106</v>
      </c>
      <c r="D77" s="227" t="s">
        <v>138</v>
      </c>
      <c r="E77" s="233" t="s">
        <v>318</v>
      </c>
      <c r="F77" s="230" t="s">
        <v>321</v>
      </c>
      <c r="G77" s="219" t="s">
        <v>50</v>
      </c>
      <c r="H77" s="235">
        <v>3.3</v>
      </c>
      <c r="I77" s="228" t="s">
        <v>320</v>
      </c>
      <c r="J77" s="174">
        <v>3080000</v>
      </c>
      <c r="K77" s="205">
        <f>ROUNDDOWN(J77*M77,2)</f>
        <v>1540000</v>
      </c>
      <c r="L77" s="174">
        <f t="shared" si="20"/>
        <v>1540000</v>
      </c>
      <c r="M77" s="192">
        <v>0.5</v>
      </c>
      <c r="N77" s="193">
        <v>0</v>
      </c>
      <c r="O77" s="193">
        <v>0</v>
      </c>
      <c r="P77" s="178">
        <v>0</v>
      </c>
      <c r="Q77" s="178">
        <f>K77</f>
        <v>1540000</v>
      </c>
      <c r="R77" s="177"/>
      <c r="S77" s="177"/>
      <c r="T77" s="177"/>
      <c r="U77" s="177"/>
      <c r="V77" s="177"/>
      <c r="W77" s="177"/>
      <c r="X77" s="144" t="b">
        <f t="shared" si="16"/>
        <v>1</v>
      </c>
      <c r="Y77" s="215">
        <f t="shared" si="17"/>
        <v>0.5</v>
      </c>
      <c r="Z77" s="216" t="b">
        <f t="shared" si="18"/>
        <v>1</v>
      </c>
      <c r="AA77" s="216" t="b">
        <f t="shared" si="19"/>
        <v>1</v>
      </c>
      <c r="AB77" s="203"/>
    </row>
    <row r="78" spans="1:28" s="204" customFormat="1" ht="36.75" customHeight="1">
      <c r="A78" s="227">
        <v>76</v>
      </c>
      <c r="B78" s="228">
        <v>186</v>
      </c>
      <c r="C78" s="227" t="s">
        <v>106</v>
      </c>
      <c r="D78" s="227" t="s">
        <v>125</v>
      </c>
      <c r="E78" s="233" t="s">
        <v>126</v>
      </c>
      <c r="F78" s="234" t="s">
        <v>322</v>
      </c>
      <c r="G78" s="219" t="s">
        <v>50</v>
      </c>
      <c r="H78" s="235">
        <v>0.99</v>
      </c>
      <c r="I78" s="236" t="s">
        <v>323</v>
      </c>
      <c r="J78" s="174">
        <v>1656375.73</v>
      </c>
      <c r="K78" s="205">
        <f>ROUNDDOWN(J78*M78,2)</f>
        <v>828187.86</v>
      </c>
      <c r="L78" s="174">
        <f t="shared" si="20"/>
        <v>828187.87</v>
      </c>
      <c r="M78" s="192">
        <v>0.5</v>
      </c>
      <c r="N78" s="193">
        <v>0</v>
      </c>
      <c r="O78" s="193">
        <v>0</v>
      </c>
      <c r="P78" s="178">
        <v>0</v>
      </c>
      <c r="Q78" s="178">
        <f>K78</f>
        <v>828187.86</v>
      </c>
      <c r="R78" s="177"/>
      <c r="S78" s="177"/>
      <c r="T78" s="177"/>
      <c r="U78" s="177"/>
      <c r="V78" s="177"/>
      <c r="W78" s="177"/>
      <c r="X78" s="144" t="b">
        <f t="shared" si="16"/>
        <v>1</v>
      </c>
      <c r="Y78" s="215">
        <f t="shared" si="17"/>
        <v>0.5</v>
      </c>
      <c r="Z78" s="216" t="b">
        <f t="shared" si="18"/>
        <v>1</v>
      </c>
      <c r="AA78" s="216" t="b">
        <f t="shared" si="19"/>
        <v>1</v>
      </c>
      <c r="AB78" s="203"/>
    </row>
    <row r="79" spans="1:28" s="276" customFormat="1" ht="36.75" customHeight="1">
      <c r="A79" s="220">
        <v>77</v>
      </c>
      <c r="B79" s="220">
        <v>10</v>
      </c>
      <c r="C79" s="220" t="s">
        <v>65</v>
      </c>
      <c r="D79" s="220" t="s">
        <v>324</v>
      </c>
      <c r="E79" s="224" t="s">
        <v>325</v>
      </c>
      <c r="F79" s="221" t="s">
        <v>188</v>
      </c>
      <c r="G79" s="220" t="s">
        <v>75</v>
      </c>
      <c r="H79" s="222">
        <v>2.8</v>
      </c>
      <c r="I79" s="220" t="s">
        <v>290</v>
      </c>
      <c r="J79" s="37">
        <v>5200000</v>
      </c>
      <c r="K79" s="173">
        <f>ROUNDDOWN(J79*M79,2)</f>
        <v>3640000</v>
      </c>
      <c r="L79" s="37">
        <f t="shared" si="20"/>
        <v>1560000</v>
      </c>
      <c r="M79" s="183">
        <v>0.7</v>
      </c>
      <c r="N79" s="175">
        <v>0</v>
      </c>
      <c r="O79" s="175">
        <v>0</v>
      </c>
      <c r="P79" s="176">
        <v>0</v>
      </c>
      <c r="Q79" s="176">
        <f>K79-R79</f>
        <v>2390000</v>
      </c>
      <c r="R79" s="176">
        <v>1250000</v>
      </c>
      <c r="S79" s="176"/>
      <c r="T79" s="176"/>
      <c r="U79" s="176"/>
      <c r="V79" s="176"/>
      <c r="W79" s="176"/>
      <c r="X79" s="144" t="b">
        <f t="shared" si="16"/>
        <v>1</v>
      </c>
      <c r="Y79" s="215">
        <f t="shared" si="17"/>
        <v>0.7</v>
      </c>
      <c r="Z79" s="216" t="b">
        <f t="shared" si="18"/>
        <v>1</v>
      </c>
      <c r="AA79" s="216" t="b">
        <f t="shared" si="19"/>
        <v>1</v>
      </c>
      <c r="AB79" s="275"/>
    </row>
    <row r="80" spans="1:28" s="204" customFormat="1" ht="36.75" customHeight="1">
      <c r="A80" s="227">
        <v>78</v>
      </c>
      <c r="B80" s="228">
        <v>111</v>
      </c>
      <c r="C80" s="227" t="s">
        <v>106</v>
      </c>
      <c r="D80" s="227" t="s">
        <v>48</v>
      </c>
      <c r="E80" s="233" t="s">
        <v>111</v>
      </c>
      <c r="F80" s="234" t="s">
        <v>223</v>
      </c>
      <c r="G80" s="219" t="s">
        <v>50</v>
      </c>
      <c r="H80" s="235">
        <v>0.866</v>
      </c>
      <c r="I80" s="236" t="s">
        <v>280</v>
      </c>
      <c r="J80" s="174">
        <v>1002000</v>
      </c>
      <c r="K80" s="205">
        <f>ROUNDDOWN(J80*M80,2)</f>
        <v>501000</v>
      </c>
      <c r="L80" s="174">
        <f t="shared" si="20"/>
        <v>501000</v>
      </c>
      <c r="M80" s="192">
        <v>0.5</v>
      </c>
      <c r="N80" s="193">
        <v>0</v>
      </c>
      <c r="O80" s="193">
        <v>0</v>
      </c>
      <c r="P80" s="178">
        <v>0</v>
      </c>
      <c r="Q80" s="178">
        <f>K80</f>
        <v>501000</v>
      </c>
      <c r="R80" s="177"/>
      <c r="S80" s="177"/>
      <c r="T80" s="177"/>
      <c r="U80" s="177"/>
      <c r="V80" s="177"/>
      <c r="W80" s="177"/>
      <c r="X80" s="144" t="b">
        <f t="shared" si="16"/>
        <v>1</v>
      </c>
      <c r="Y80" s="215">
        <f t="shared" si="17"/>
        <v>0.5</v>
      </c>
      <c r="Z80" s="216" t="b">
        <f t="shared" si="18"/>
        <v>1</v>
      </c>
      <c r="AA80" s="216" t="b">
        <f t="shared" si="19"/>
        <v>1</v>
      </c>
      <c r="AB80" s="203"/>
    </row>
    <row r="81" spans="1:28" s="204" customFormat="1" ht="36.75" customHeight="1">
      <c r="A81" s="227">
        <v>79</v>
      </c>
      <c r="B81" s="228">
        <v>237</v>
      </c>
      <c r="C81" s="227" t="s">
        <v>106</v>
      </c>
      <c r="D81" s="227" t="s">
        <v>116</v>
      </c>
      <c r="E81" s="233" t="s">
        <v>326</v>
      </c>
      <c r="F81" s="234" t="s">
        <v>327</v>
      </c>
      <c r="G81" s="219" t="s">
        <v>75</v>
      </c>
      <c r="H81" s="235">
        <v>0.63</v>
      </c>
      <c r="I81" s="236" t="s">
        <v>328</v>
      </c>
      <c r="J81" s="174">
        <v>443685.56</v>
      </c>
      <c r="K81" s="205">
        <f t="shared" si="21"/>
        <v>221842.78</v>
      </c>
      <c r="L81" s="174">
        <f t="shared" si="20"/>
        <v>221842.78</v>
      </c>
      <c r="M81" s="192">
        <v>0.5</v>
      </c>
      <c r="N81" s="193">
        <v>0</v>
      </c>
      <c r="O81" s="193">
        <v>0</v>
      </c>
      <c r="P81" s="178">
        <v>0</v>
      </c>
      <c r="Q81" s="178">
        <f t="shared" si="22"/>
        <v>221842.78</v>
      </c>
      <c r="R81" s="177"/>
      <c r="S81" s="177"/>
      <c r="T81" s="177"/>
      <c r="U81" s="177"/>
      <c r="V81" s="177"/>
      <c r="W81" s="177"/>
      <c r="X81" s="144" t="b">
        <f t="shared" si="16"/>
        <v>1</v>
      </c>
      <c r="Y81" s="215">
        <f t="shared" si="17"/>
        <v>0.5</v>
      </c>
      <c r="Z81" s="216" t="b">
        <f t="shared" si="18"/>
        <v>1</v>
      </c>
      <c r="AA81" s="216" t="b">
        <f t="shared" si="19"/>
        <v>1</v>
      </c>
      <c r="AB81" s="203"/>
    </row>
    <row r="82" spans="1:28" s="204" customFormat="1" ht="36.75" customHeight="1">
      <c r="A82" s="227">
        <v>80</v>
      </c>
      <c r="B82" s="227">
        <v>43</v>
      </c>
      <c r="C82" s="227" t="s">
        <v>106</v>
      </c>
      <c r="D82" s="227" t="s">
        <v>116</v>
      </c>
      <c r="E82" s="233" t="s">
        <v>326</v>
      </c>
      <c r="F82" s="230" t="s">
        <v>329</v>
      </c>
      <c r="G82" s="219" t="s">
        <v>75</v>
      </c>
      <c r="H82" s="235">
        <v>3.825</v>
      </c>
      <c r="I82" s="228" t="s">
        <v>328</v>
      </c>
      <c r="J82" s="174">
        <v>2097964.59</v>
      </c>
      <c r="K82" s="205">
        <f t="shared" si="21"/>
        <v>1048982.29</v>
      </c>
      <c r="L82" s="174">
        <f t="shared" si="20"/>
        <v>1048982.2999999998</v>
      </c>
      <c r="M82" s="192">
        <v>0.5</v>
      </c>
      <c r="N82" s="193">
        <v>0</v>
      </c>
      <c r="O82" s="193">
        <v>0</v>
      </c>
      <c r="P82" s="178">
        <v>0</v>
      </c>
      <c r="Q82" s="178">
        <f t="shared" si="22"/>
        <v>1048982.29</v>
      </c>
      <c r="R82" s="177"/>
      <c r="S82" s="177"/>
      <c r="T82" s="177"/>
      <c r="U82" s="177"/>
      <c r="V82" s="177"/>
      <c r="W82" s="177"/>
      <c r="X82" s="144" t="b">
        <f t="shared" si="16"/>
        <v>1</v>
      </c>
      <c r="Y82" s="215">
        <f t="shared" si="17"/>
        <v>0.5</v>
      </c>
      <c r="Z82" s="216" t="b">
        <f t="shared" si="18"/>
        <v>1</v>
      </c>
      <c r="AA82" s="216" t="b">
        <f t="shared" si="19"/>
        <v>1</v>
      </c>
      <c r="AB82" s="203"/>
    </row>
    <row r="83" spans="1:28" s="34" customFormat="1" ht="37.5" customHeight="1">
      <c r="A83" s="227">
        <v>81</v>
      </c>
      <c r="B83" s="227">
        <v>7</v>
      </c>
      <c r="C83" s="227" t="s">
        <v>106</v>
      </c>
      <c r="D83" s="227" t="s">
        <v>324</v>
      </c>
      <c r="E83" s="233" t="s">
        <v>325</v>
      </c>
      <c r="F83" s="230" t="s">
        <v>348</v>
      </c>
      <c r="G83" s="228" t="s">
        <v>75</v>
      </c>
      <c r="H83" s="231">
        <v>0.165</v>
      </c>
      <c r="I83" s="228" t="s">
        <v>349</v>
      </c>
      <c r="J83" s="174">
        <v>160000</v>
      </c>
      <c r="K83" s="205">
        <f>ROUNDDOWN(J83*M83,2)</f>
        <v>128000</v>
      </c>
      <c r="L83" s="174">
        <f t="shared" si="20"/>
        <v>32000</v>
      </c>
      <c r="M83" s="192">
        <v>0.8</v>
      </c>
      <c r="N83" s="193">
        <v>0</v>
      </c>
      <c r="O83" s="193">
        <v>0</v>
      </c>
      <c r="P83" s="178">
        <v>0</v>
      </c>
      <c r="Q83" s="178">
        <f>K83</f>
        <v>128000</v>
      </c>
      <c r="R83" s="177"/>
      <c r="S83" s="177"/>
      <c r="T83" s="177"/>
      <c r="U83" s="177"/>
      <c r="V83" s="177"/>
      <c r="W83" s="177"/>
      <c r="X83" s="144" t="b">
        <f>K83=SUM(N83:W83)</f>
        <v>1</v>
      </c>
      <c r="Y83" s="215">
        <f>ROUND(K83/J83,4)</f>
        <v>0.8</v>
      </c>
      <c r="Z83" s="216" t="b">
        <f>Y83=M83</f>
        <v>1</v>
      </c>
      <c r="AA83" s="216" t="b">
        <f>J83=K83+L83</f>
        <v>1</v>
      </c>
      <c r="AB83" s="35"/>
    </row>
    <row r="84" spans="1:27" s="278" customFormat="1" ht="37.5" customHeight="1">
      <c r="A84" s="227">
        <v>82</v>
      </c>
      <c r="B84" s="228">
        <v>5</v>
      </c>
      <c r="C84" s="227" t="s">
        <v>106</v>
      </c>
      <c r="D84" s="228" t="s">
        <v>324</v>
      </c>
      <c r="E84" s="233" t="s">
        <v>325</v>
      </c>
      <c r="F84" s="230" t="s">
        <v>392</v>
      </c>
      <c r="G84" s="228" t="s">
        <v>75</v>
      </c>
      <c r="H84" s="231">
        <v>1.41</v>
      </c>
      <c r="I84" s="228" t="s">
        <v>323</v>
      </c>
      <c r="J84" s="174">
        <v>2700000</v>
      </c>
      <c r="K84" s="205">
        <f>ROUNDDOWN(J84*M84,2)</f>
        <v>1890000</v>
      </c>
      <c r="L84" s="174">
        <f t="shared" si="20"/>
        <v>810000</v>
      </c>
      <c r="M84" s="192">
        <v>0.7</v>
      </c>
      <c r="N84" s="193">
        <v>0</v>
      </c>
      <c r="O84" s="193">
        <v>0</v>
      </c>
      <c r="P84" s="178">
        <v>0</v>
      </c>
      <c r="Q84" s="178">
        <f>K84</f>
        <v>1890000</v>
      </c>
      <c r="R84" s="177"/>
      <c r="S84" s="177"/>
      <c r="T84" s="177"/>
      <c r="U84" s="177"/>
      <c r="V84" s="177"/>
      <c r="W84" s="177"/>
      <c r="X84" s="144" t="b">
        <f>K84=SUM(N84:W84)</f>
        <v>1</v>
      </c>
      <c r="Y84" s="215">
        <f>ROUND(K84/J84,4)</f>
        <v>0.7</v>
      </c>
      <c r="Z84" s="216" t="b">
        <f>Y84=M84</f>
        <v>1</v>
      </c>
      <c r="AA84" s="216" t="b">
        <f>J84=K84+L84</f>
        <v>1</v>
      </c>
    </row>
    <row r="85" spans="1:28" s="209" customFormat="1" ht="36.75" customHeight="1">
      <c r="A85" s="227" t="s">
        <v>724</v>
      </c>
      <c r="B85" s="228">
        <v>191</v>
      </c>
      <c r="C85" s="227" t="s">
        <v>106</v>
      </c>
      <c r="D85" s="227" t="s">
        <v>125</v>
      </c>
      <c r="E85" s="233" t="s">
        <v>126</v>
      </c>
      <c r="F85" s="234" t="s">
        <v>330</v>
      </c>
      <c r="G85" s="219" t="s">
        <v>75</v>
      </c>
      <c r="H85" s="235">
        <v>3.6</v>
      </c>
      <c r="I85" s="236" t="s">
        <v>323</v>
      </c>
      <c r="J85" s="174">
        <v>2192400</v>
      </c>
      <c r="K85" s="205">
        <f>ROUNDDOWN(J85*M85,2)-6959.4</f>
        <v>1089240.6</v>
      </c>
      <c r="L85" s="174">
        <f t="shared" si="20"/>
        <v>1103159.4</v>
      </c>
      <c r="M85" s="192">
        <v>0.5</v>
      </c>
      <c r="N85" s="193">
        <v>0</v>
      </c>
      <c r="O85" s="193">
        <v>0</v>
      </c>
      <c r="P85" s="178">
        <v>0</v>
      </c>
      <c r="Q85" s="178">
        <f t="shared" si="22"/>
        <v>1089240.6</v>
      </c>
      <c r="R85" s="177"/>
      <c r="S85" s="177"/>
      <c r="T85" s="177"/>
      <c r="U85" s="177"/>
      <c r="V85" s="177"/>
      <c r="W85" s="177"/>
      <c r="X85" s="144" t="b">
        <f t="shared" si="16"/>
        <v>1</v>
      </c>
      <c r="Y85" s="215">
        <f t="shared" si="17"/>
        <v>0.4968</v>
      </c>
      <c r="Z85" s="216" t="b">
        <f t="shared" si="18"/>
        <v>0</v>
      </c>
      <c r="AA85" s="216" t="b">
        <f t="shared" si="19"/>
        <v>1</v>
      </c>
      <c r="AB85" s="208"/>
    </row>
    <row r="86" spans="1:27" ht="19.5" customHeight="1">
      <c r="A86" s="319" t="s">
        <v>44</v>
      </c>
      <c r="B86" s="319"/>
      <c r="C86" s="319"/>
      <c r="D86" s="319"/>
      <c r="E86" s="319"/>
      <c r="F86" s="319"/>
      <c r="G86" s="319"/>
      <c r="H86" s="139">
        <f>SUM(H3:H85)</f>
        <v>250.41020999999995</v>
      </c>
      <c r="I86" s="140" t="s">
        <v>14</v>
      </c>
      <c r="J86" s="36">
        <f>SUM(J3:J85)</f>
        <v>449675003.25000006</v>
      </c>
      <c r="K86" s="36">
        <f>SUM(K3:K85)</f>
        <v>230193726.21999997</v>
      </c>
      <c r="L86" s="36">
        <f>SUM(L3:L85)</f>
        <v>219481277.03000006</v>
      </c>
      <c r="M86" s="141" t="s">
        <v>14</v>
      </c>
      <c r="N86" s="36">
        <f aca="true" t="shared" si="23" ref="N86:W86">SUM(N3:N85)</f>
        <v>0</v>
      </c>
      <c r="O86" s="36">
        <f t="shared" si="23"/>
        <v>4445884.39</v>
      </c>
      <c r="P86" s="36">
        <f t="shared" si="23"/>
        <v>35517481.92</v>
      </c>
      <c r="Q86" s="36">
        <f t="shared" si="23"/>
        <v>123169258.84000002</v>
      </c>
      <c r="R86" s="36">
        <f t="shared" si="23"/>
        <v>48295454.81</v>
      </c>
      <c r="S86" s="36">
        <f t="shared" si="23"/>
        <v>18765646.259999998</v>
      </c>
      <c r="T86" s="36">
        <f t="shared" si="23"/>
        <v>0</v>
      </c>
      <c r="U86" s="36">
        <f t="shared" si="23"/>
        <v>0</v>
      </c>
      <c r="V86" s="36">
        <f t="shared" si="23"/>
        <v>0</v>
      </c>
      <c r="W86" s="36">
        <f t="shared" si="23"/>
        <v>0</v>
      </c>
      <c r="X86" s="144" t="b">
        <f>K86=SUM(N86:W86)</f>
        <v>1</v>
      </c>
      <c r="Y86" s="215">
        <f>ROUND(K86/J86,4)</f>
        <v>0.5119</v>
      </c>
      <c r="Z86" s="216" t="s">
        <v>14</v>
      </c>
      <c r="AA86" s="216" t="b">
        <f>J86=K86+L86</f>
        <v>1</v>
      </c>
    </row>
    <row r="87" spans="1:27" ht="19.5" customHeight="1">
      <c r="A87" s="318" t="s">
        <v>38</v>
      </c>
      <c r="B87" s="318"/>
      <c r="C87" s="318"/>
      <c r="D87" s="318"/>
      <c r="E87" s="318"/>
      <c r="F87" s="318"/>
      <c r="G87" s="318"/>
      <c r="H87" s="142">
        <f>SUMIF($C$3:$C$85,"K",H3:H85)</f>
        <v>134.08020999999997</v>
      </c>
      <c r="I87" s="281" t="s">
        <v>14</v>
      </c>
      <c r="J87" s="37">
        <f>SUMIF($C$3:$C$85,"K",J3:J85)</f>
        <v>234887462.65</v>
      </c>
      <c r="K87" s="37">
        <f>SUMIF($C$3:$C$85,"K",K3:K85)</f>
        <v>120477076.91999999</v>
      </c>
      <c r="L87" s="37">
        <f>SUMIF($C$3:$C$85,"K",L3:L85)</f>
        <v>114410385.73</v>
      </c>
      <c r="M87" s="143" t="s">
        <v>14</v>
      </c>
      <c r="N87" s="37">
        <f aca="true" t="shared" si="24" ref="N87:W87">SUMIF($C$3:$C$85,"K",N3:N85)</f>
        <v>0</v>
      </c>
      <c r="O87" s="37">
        <f t="shared" si="24"/>
        <v>4445884.39</v>
      </c>
      <c r="P87" s="37">
        <f t="shared" si="24"/>
        <v>35517481.92</v>
      </c>
      <c r="Q87" s="37">
        <f t="shared" si="24"/>
        <v>61915152.66</v>
      </c>
      <c r="R87" s="37">
        <f t="shared" si="24"/>
        <v>18598557.950000003</v>
      </c>
      <c r="S87" s="37">
        <f t="shared" si="24"/>
        <v>0</v>
      </c>
      <c r="T87" s="37">
        <f t="shared" si="24"/>
        <v>0</v>
      </c>
      <c r="U87" s="37">
        <f t="shared" si="24"/>
        <v>0</v>
      </c>
      <c r="V87" s="37">
        <f t="shared" si="24"/>
        <v>0</v>
      </c>
      <c r="W87" s="37">
        <f t="shared" si="24"/>
        <v>0</v>
      </c>
      <c r="X87" s="144" t="b">
        <f>K87=SUM(N87:W87)</f>
        <v>1</v>
      </c>
      <c r="Y87" s="215">
        <f>ROUND(K87/J87,4)</f>
        <v>0.5129</v>
      </c>
      <c r="Z87" s="216" t="s">
        <v>14</v>
      </c>
      <c r="AA87" s="216" t="b">
        <f>J87=K87+L87</f>
        <v>1</v>
      </c>
    </row>
    <row r="88" spans="1:27" ht="19.5" customHeight="1">
      <c r="A88" s="319" t="s">
        <v>39</v>
      </c>
      <c r="B88" s="319"/>
      <c r="C88" s="319"/>
      <c r="D88" s="319"/>
      <c r="E88" s="319"/>
      <c r="F88" s="319"/>
      <c r="G88" s="319"/>
      <c r="H88" s="139">
        <f>SUMIF($C$3:$C$85,"N",H3:H85)</f>
        <v>56.871</v>
      </c>
      <c r="I88" s="140" t="s">
        <v>14</v>
      </c>
      <c r="J88" s="36">
        <f>SUMIF($C$3:$C$85,"N",J3:J85)</f>
        <v>86577156.80000001</v>
      </c>
      <c r="K88" s="36">
        <f>SUMIF($C$3:$C$85,"N",K3:K85)</f>
        <v>43869618.98</v>
      </c>
      <c r="L88" s="36">
        <f>SUMIF($C$3:$C$85,"N",L3:L85)</f>
        <v>42707537.81999999</v>
      </c>
      <c r="M88" s="141" t="s">
        <v>14</v>
      </c>
      <c r="N88" s="36">
        <f aca="true" t="shared" si="25" ref="N88:W88">SUMIF($C$3:$C$85,"N",N3:N85)</f>
        <v>0</v>
      </c>
      <c r="O88" s="36">
        <f t="shared" si="25"/>
        <v>0</v>
      </c>
      <c r="P88" s="36">
        <f t="shared" si="25"/>
        <v>0</v>
      </c>
      <c r="Q88" s="36">
        <f t="shared" si="25"/>
        <v>43869618.98</v>
      </c>
      <c r="R88" s="36">
        <f t="shared" si="25"/>
        <v>0</v>
      </c>
      <c r="S88" s="36">
        <f t="shared" si="25"/>
        <v>0</v>
      </c>
      <c r="T88" s="36">
        <f t="shared" si="25"/>
        <v>0</v>
      </c>
      <c r="U88" s="36">
        <f t="shared" si="25"/>
        <v>0</v>
      </c>
      <c r="V88" s="36">
        <f t="shared" si="25"/>
        <v>0</v>
      </c>
      <c r="W88" s="36">
        <f t="shared" si="25"/>
        <v>0</v>
      </c>
      <c r="X88" s="144" t="b">
        <f>K88=SUM(N88:W88)</f>
        <v>1</v>
      </c>
      <c r="Y88" s="215">
        <f>ROUND(K88/J88,4)</f>
        <v>0.5067</v>
      </c>
      <c r="Z88" s="216" t="s">
        <v>14</v>
      </c>
      <c r="AA88" s="216" t="b">
        <f>J88=K88+L88</f>
        <v>1</v>
      </c>
    </row>
    <row r="89" spans="1:27" ht="19.5" customHeight="1">
      <c r="A89" s="318" t="s">
        <v>40</v>
      </c>
      <c r="B89" s="318"/>
      <c r="C89" s="318"/>
      <c r="D89" s="318"/>
      <c r="E89" s="318"/>
      <c r="F89" s="318"/>
      <c r="G89" s="318"/>
      <c r="H89" s="142">
        <f>SUMIF($C$3:$C$85,"W",H3:H85)</f>
        <v>59.458999999999996</v>
      </c>
      <c r="I89" s="281" t="s">
        <v>14</v>
      </c>
      <c r="J89" s="37">
        <f>SUMIF($C$3:$C$85,"W",J3:J85)</f>
        <v>128210383.8</v>
      </c>
      <c r="K89" s="37">
        <f>SUMIF($C$3:$C$85,"W",K3:K85)</f>
        <v>65847030.32000001</v>
      </c>
      <c r="L89" s="37">
        <f>SUMIF($C$3:$C$85,"W",L3:L85)</f>
        <v>62363353.480000004</v>
      </c>
      <c r="M89" s="143" t="s">
        <v>14</v>
      </c>
      <c r="N89" s="37">
        <f aca="true" t="shared" si="26" ref="N89:W89">SUMIF($C$3:$C$85,"W",N3:N85)</f>
        <v>0</v>
      </c>
      <c r="O89" s="37">
        <f t="shared" si="26"/>
        <v>0</v>
      </c>
      <c r="P89" s="37">
        <f t="shared" si="26"/>
        <v>0</v>
      </c>
      <c r="Q89" s="37">
        <f t="shared" si="26"/>
        <v>17384487.199999996</v>
      </c>
      <c r="R89" s="37">
        <f t="shared" si="26"/>
        <v>29696896.86</v>
      </c>
      <c r="S89" s="37">
        <f t="shared" si="26"/>
        <v>18765646.259999998</v>
      </c>
      <c r="T89" s="37">
        <f t="shared" si="26"/>
        <v>0</v>
      </c>
      <c r="U89" s="37">
        <f t="shared" si="26"/>
        <v>0</v>
      </c>
      <c r="V89" s="37">
        <f t="shared" si="26"/>
        <v>0</v>
      </c>
      <c r="W89" s="37">
        <f t="shared" si="26"/>
        <v>0</v>
      </c>
      <c r="X89" s="144" t="b">
        <f>K89=SUM(N89:W89)</f>
        <v>1</v>
      </c>
      <c r="Y89" s="215">
        <f>ROUND(K89/J89,4)</f>
        <v>0.5136</v>
      </c>
      <c r="Z89" s="216" t="s">
        <v>14</v>
      </c>
      <c r="AA89" s="216" t="b">
        <f>J89=K89+L89</f>
        <v>1</v>
      </c>
    </row>
    <row r="90" spans="1:7" ht="15">
      <c r="A90" s="25"/>
      <c r="B90" s="25"/>
      <c r="C90" s="25"/>
      <c r="D90" s="25"/>
      <c r="E90" s="25"/>
      <c r="F90" s="25"/>
      <c r="G90" s="25"/>
    </row>
    <row r="91" spans="1:27" ht="15">
      <c r="A91" s="23" t="s">
        <v>25</v>
      </c>
      <c r="B91" s="23"/>
      <c r="C91" s="23"/>
      <c r="D91" s="23"/>
      <c r="E91" s="23"/>
      <c r="F91" s="23"/>
      <c r="G91" s="23"/>
      <c r="H91" s="7"/>
      <c r="I91" s="7"/>
      <c r="J91" s="245"/>
      <c r="K91" s="239"/>
      <c r="L91" s="239"/>
      <c r="N91" s="239"/>
      <c r="O91" s="239"/>
      <c r="P91" s="239"/>
      <c r="Q91" s="239"/>
      <c r="R91" s="239"/>
      <c r="S91" s="239"/>
      <c r="T91" s="239"/>
      <c r="U91" s="239"/>
      <c r="V91" s="239"/>
      <c r="W91" s="239"/>
      <c r="X91" s="1"/>
      <c r="AA91" s="33"/>
    </row>
    <row r="92" spans="1:24" ht="15">
      <c r="A92" s="24" t="s">
        <v>26</v>
      </c>
      <c r="B92" s="24"/>
      <c r="C92" s="24"/>
      <c r="D92" s="24"/>
      <c r="E92" s="24"/>
      <c r="F92" s="24"/>
      <c r="G92" s="24"/>
      <c r="H92" s="7"/>
      <c r="I92" s="7"/>
      <c r="J92" s="246"/>
      <c r="K92" s="239"/>
      <c r="L92" s="239"/>
      <c r="N92" s="239"/>
      <c r="O92" s="239"/>
      <c r="P92" s="239"/>
      <c r="Q92" s="239"/>
      <c r="R92" s="239"/>
      <c r="S92" s="239"/>
      <c r="T92" s="239"/>
      <c r="U92" s="239"/>
      <c r="V92" s="239"/>
      <c r="W92" s="239"/>
      <c r="X92" s="1"/>
    </row>
    <row r="93" spans="1:10" ht="24.75" customHeight="1">
      <c r="A93" s="23" t="s">
        <v>43</v>
      </c>
      <c r="B93" s="25"/>
      <c r="C93" s="25"/>
      <c r="D93" s="25"/>
      <c r="E93" s="25"/>
      <c r="F93" s="25"/>
      <c r="G93" s="25"/>
      <c r="J93" s="247"/>
    </row>
    <row r="94" spans="1:27" s="4" customFormat="1" ht="21.75" customHeight="1">
      <c r="A94" s="201" t="s">
        <v>238</v>
      </c>
      <c r="B94" s="172"/>
      <c r="C94" s="172"/>
      <c r="D94" s="172"/>
      <c r="E94" s="172"/>
      <c r="F94" s="172"/>
      <c r="G94" s="172"/>
      <c r="H94" s="172"/>
      <c r="I94" s="172"/>
      <c r="J94" s="240"/>
      <c r="K94" s="240"/>
      <c r="L94" s="240"/>
      <c r="M94" s="172"/>
      <c r="N94" s="240"/>
      <c r="O94" s="240"/>
      <c r="P94" s="240"/>
      <c r="Q94" s="240"/>
      <c r="R94" s="240"/>
      <c r="S94" s="240"/>
      <c r="T94" s="241"/>
      <c r="U94" s="241"/>
      <c r="V94" s="241"/>
      <c r="W94" s="241"/>
      <c r="X94" s="198"/>
      <c r="Y94" s="144"/>
      <c r="Z94" s="144"/>
      <c r="AA94" s="198"/>
    </row>
    <row r="95" spans="1:27" s="4" customFormat="1" ht="15" customHeight="1">
      <c r="A95" s="199" t="s">
        <v>661</v>
      </c>
      <c r="B95" s="194"/>
      <c r="C95" s="195"/>
      <c r="D95" s="196"/>
      <c r="E95" s="196"/>
      <c r="F95" s="196"/>
      <c r="G95" s="196"/>
      <c r="H95" s="196"/>
      <c r="I95" s="196"/>
      <c r="J95" s="242"/>
      <c r="K95" s="242"/>
      <c r="L95" s="242"/>
      <c r="M95" s="197"/>
      <c r="N95" s="242"/>
      <c r="O95" s="242"/>
      <c r="P95" s="242"/>
      <c r="Q95" s="242"/>
      <c r="R95" s="242"/>
      <c r="S95" s="243"/>
      <c r="T95" s="241"/>
      <c r="U95" s="241"/>
      <c r="V95" s="241"/>
      <c r="W95" s="241"/>
      <c r="X95" s="198"/>
      <c r="Y95" s="144"/>
      <c r="Z95" s="144"/>
      <c r="AA95" s="198"/>
    </row>
    <row r="96" ht="15">
      <c r="A96" s="61"/>
    </row>
    <row r="97" ht="15">
      <c r="A97" s="62" t="s">
        <v>219</v>
      </c>
    </row>
    <row r="98" ht="15">
      <c r="A98" s="62" t="s">
        <v>220</v>
      </c>
    </row>
    <row r="102" ht="15">
      <c r="A102" s="4"/>
    </row>
  </sheetData>
  <sheetProtection/>
  <mergeCells count="18">
    <mergeCell ref="A89:G89"/>
    <mergeCell ref="A88:G88"/>
    <mergeCell ref="E1:E2"/>
    <mergeCell ref="A86:G86"/>
    <mergeCell ref="A1:A2"/>
    <mergeCell ref="B1:B2"/>
    <mergeCell ref="C1:C2"/>
    <mergeCell ref="F1:F2"/>
    <mergeCell ref="G1:G2"/>
    <mergeCell ref="A87:G87"/>
    <mergeCell ref="D1:D2"/>
    <mergeCell ref="L1:L2"/>
    <mergeCell ref="M1:M2"/>
    <mergeCell ref="N1:W1"/>
    <mergeCell ref="H1:H2"/>
    <mergeCell ref="I1:I2"/>
    <mergeCell ref="J1:J2"/>
    <mergeCell ref="K1:K2"/>
  </mergeCells>
  <conditionalFormatting sqref="X3:AA35 X37:AA37 X40:AA82 X85:AA87">
    <cfRule type="cellIs" priority="138" dxfId="51" operator="equal">
      <formula>FALSE</formula>
    </cfRule>
  </conditionalFormatting>
  <conditionalFormatting sqref="X3:Z35 X37:Z37 X40:Z82 X85:Z87">
    <cfRule type="containsText" priority="136" dxfId="51" operator="containsText" text="fałsz">
      <formula>NOT(ISERROR(SEARCH("fałsz",X3)))</formula>
    </cfRule>
  </conditionalFormatting>
  <conditionalFormatting sqref="AA91">
    <cfRule type="cellIs" priority="135" dxfId="51" operator="equal">
      <formula>FALSE</formula>
    </cfRule>
  </conditionalFormatting>
  <conditionalFormatting sqref="AA91">
    <cfRule type="cellIs" priority="134" dxfId="51" operator="equal">
      <formula>FALSE</formula>
    </cfRule>
  </conditionalFormatting>
  <conditionalFormatting sqref="Y89:Z89">
    <cfRule type="cellIs" priority="133" dxfId="51" operator="equal">
      <formula>FALSE</formula>
    </cfRule>
  </conditionalFormatting>
  <conditionalFormatting sqref="X89">
    <cfRule type="cellIs" priority="132" dxfId="51" operator="equal">
      <formula>FALSE</formula>
    </cfRule>
  </conditionalFormatting>
  <conditionalFormatting sqref="X89:Z89">
    <cfRule type="containsText" priority="131" dxfId="51" operator="containsText" text="fałsz">
      <formula>NOT(ISERROR(SEARCH("fałsz",X89)))</formula>
    </cfRule>
  </conditionalFormatting>
  <conditionalFormatting sqref="AA89">
    <cfRule type="cellIs" priority="130" dxfId="51" operator="equal">
      <formula>FALSE</formula>
    </cfRule>
  </conditionalFormatting>
  <conditionalFormatting sqref="AA89">
    <cfRule type="cellIs" priority="129" dxfId="51" operator="equal">
      <formula>FALSE</formula>
    </cfRule>
  </conditionalFormatting>
  <conditionalFormatting sqref="Y88:Z88">
    <cfRule type="cellIs" priority="128" dxfId="51" operator="equal">
      <formula>FALSE</formula>
    </cfRule>
  </conditionalFormatting>
  <conditionalFormatting sqref="X88">
    <cfRule type="cellIs" priority="127" dxfId="51" operator="equal">
      <formula>FALSE</formula>
    </cfRule>
  </conditionalFormatting>
  <conditionalFormatting sqref="X88:Z88">
    <cfRule type="containsText" priority="126" dxfId="51" operator="containsText" text="fałsz">
      <formula>NOT(ISERROR(SEARCH("fałsz",X88)))</formula>
    </cfRule>
  </conditionalFormatting>
  <conditionalFormatting sqref="AA88">
    <cfRule type="cellIs" priority="125" dxfId="51" operator="equal">
      <formula>FALSE</formula>
    </cfRule>
  </conditionalFormatting>
  <conditionalFormatting sqref="AA88">
    <cfRule type="cellIs" priority="124" dxfId="51" operator="equal">
      <formula>FALSE</formula>
    </cfRule>
  </conditionalFormatting>
  <conditionalFormatting sqref="X36:AA36">
    <cfRule type="cellIs" priority="23" dxfId="51" operator="equal">
      <formula>FALSE</formula>
    </cfRule>
  </conditionalFormatting>
  <conditionalFormatting sqref="X36:Z36">
    <cfRule type="containsText" priority="24" dxfId="51" operator="containsText" text="fałsz">
      <formula>NOT(ISERROR(SEARCH("fałsz",X36)))</formula>
    </cfRule>
  </conditionalFormatting>
  <conditionalFormatting sqref="X38:AA38">
    <cfRule type="cellIs" priority="11" dxfId="51" operator="equal">
      <formula>FALSE</formula>
    </cfRule>
  </conditionalFormatting>
  <conditionalFormatting sqref="X38:Z38">
    <cfRule type="containsText" priority="12" dxfId="51" operator="containsText" text="fałsz">
      <formula>NOT(ISERROR(SEARCH("fałsz",X38)))</formula>
    </cfRule>
  </conditionalFormatting>
  <conditionalFormatting sqref="X39:AA39">
    <cfRule type="cellIs" priority="9" dxfId="51" operator="equal">
      <formula>FALSE</formula>
    </cfRule>
  </conditionalFormatting>
  <conditionalFormatting sqref="X39:Z39">
    <cfRule type="containsText" priority="10" dxfId="51" operator="containsText" text="fałsz">
      <formula>NOT(ISERROR(SEARCH("fałsz",X39)))</formula>
    </cfRule>
  </conditionalFormatting>
  <conditionalFormatting sqref="AB43 AB45:AB82 AB85">
    <cfRule type="cellIs" priority="5" dxfId="51" operator="equal">
      <formula>FALSE</formula>
    </cfRule>
  </conditionalFormatting>
  <conditionalFormatting sqref="X83:AB83">
    <cfRule type="cellIs" priority="3" dxfId="51" operator="equal">
      <formula>FALSE</formula>
    </cfRule>
  </conditionalFormatting>
  <conditionalFormatting sqref="X84:AB84">
    <cfRule type="cellIs" priority="1" dxfId="51" operator="equal">
      <formula>FALSE</formula>
    </cfRule>
  </conditionalFormatting>
  <dataValidations count="2">
    <dataValidation type="list" allowBlank="1" showInputMessage="1" showErrorMessage="1" sqref="C3:C85">
      <formula1>"N,K,W"</formula1>
    </dataValidation>
    <dataValidation type="list" allowBlank="1" showInputMessage="1" showErrorMessage="1" sqref="G3:G85">
      <formula1>"B,P,R"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scale="56" r:id="rId1"/>
  <headerFooter>
    <oddHeader>&amp;LWojewództwo podlaskie - zadania powiatowe lista podstawowa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2"/>
  <sheetViews>
    <sheetView showGridLines="0" view="pageBreakPreview" zoomScaleNormal="70" zoomScaleSheetLayoutView="100" workbookViewId="0" topLeftCell="L112">
      <selection activeCell="AC122" sqref="AC122"/>
    </sheetView>
  </sheetViews>
  <sheetFormatPr defaultColWidth="9.140625" defaultRowHeight="15"/>
  <cols>
    <col min="1" max="1" width="6.28125" style="3" customWidth="1"/>
    <col min="2" max="2" width="7.28125" style="3" customWidth="1"/>
    <col min="3" max="3" width="16.140625" style="3" customWidth="1"/>
    <col min="4" max="4" width="19.8515625" style="3" customWidth="1"/>
    <col min="5" max="5" width="9.8515625" style="3" customWidth="1"/>
    <col min="6" max="6" width="18.7109375" style="3" customWidth="1"/>
    <col min="7" max="7" width="65.8515625" style="3" customWidth="1"/>
    <col min="8" max="8" width="9.00390625" style="3" customWidth="1"/>
    <col min="9" max="9" width="8.421875" style="3" customWidth="1"/>
    <col min="10" max="10" width="13.7109375" style="3" customWidth="1"/>
    <col min="11" max="11" width="15.7109375" style="57" customWidth="1"/>
    <col min="12" max="13" width="15.7109375" style="16" customWidth="1"/>
    <col min="14" max="14" width="15.7109375" style="1" customWidth="1"/>
    <col min="15" max="19" width="15.7109375" style="238" customWidth="1"/>
    <col min="20" max="20" width="15.8515625" style="238" customWidth="1"/>
    <col min="21" max="21" width="12.57421875" style="238" customWidth="1"/>
    <col min="22" max="22" width="12.00390625" style="238" customWidth="1"/>
    <col min="23" max="23" width="11.7109375" style="238" customWidth="1"/>
    <col min="24" max="24" width="12.57421875" style="238" customWidth="1"/>
    <col min="25" max="27" width="15.7109375" style="7" customWidth="1"/>
    <col min="28" max="28" width="15.7109375" style="3" customWidth="1"/>
    <col min="29" max="16384" width="9.140625" style="3" customWidth="1"/>
  </cols>
  <sheetData>
    <row r="1" spans="1:28" ht="24.75" customHeight="1">
      <c r="A1" s="316" t="s">
        <v>4</v>
      </c>
      <c r="B1" s="316" t="s">
        <v>5</v>
      </c>
      <c r="C1" s="316" t="s">
        <v>64</v>
      </c>
      <c r="D1" s="316" t="s">
        <v>6</v>
      </c>
      <c r="E1" s="316" t="s">
        <v>33</v>
      </c>
      <c r="F1" s="316" t="s">
        <v>15</v>
      </c>
      <c r="G1" s="316" t="s">
        <v>7</v>
      </c>
      <c r="H1" s="316" t="s">
        <v>27</v>
      </c>
      <c r="I1" s="316" t="s">
        <v>8</v>
      </c>
      <c r="J1" s="316" t="s">
        <v>28</v>
      </c>
      <c r="K1" s="316" t="s">
        <v>9</v>
      </c>
      <c r="L1" s="316" t="s">
        <v>17</v>
      </c>
      <c r="M1" s="316" t="s">
        <v>13</v>
      </c>
      <c r="N1" s="316" t="s">
        <v>11</v>
      </c>
      <c r="O1" s="317" t="s">
        <v>12</v>
      </c>
      <c r="P1" s="317"/>
      <c r="Q1" s="317"/>
      <c r="R1" s="317"/>
      <c r="S1" s="317"/>
      <c r="T1" s="317"/>
      <c r="U1" s="317"/>
      <c r="V1" s="317"/>
      <c r="W1" s="317"/>
      <c r="X1" s="317"/>
      <c r="Y1" s="27"/>
      <c r="Z1" s="27"/>
      <c r="AA1" s="27"/>
      <c r="AB1" s="4"/>
    </row>
    <row r="2" spans="1:28" ht="31.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280">
        <v>2019</v>
      </c>
      <c r="P2" s="280">
        <v>2020</v>
      </c>
      <c r="Q2" s="280">
        <v>2021</v>
      </c>
      <c r="R2" s="280">
        <v>2022</v>
      </c>
      <c r="S2" s="280">
        <v>2023</v>
      </c>
      <c r="T2" s="280">
        <v>2024</v>
      </c>
      <c r="U2" s="280">
        <v>2025</v>
      </c>
      <c r="V2" s="280">
        <v>2026</v>
      </c>
      <c r="W2" s="280">
        <v>2027</v>
      </c>
      <c r="X2" s="280">
        <v>2028</v>
      </c>
      <c r="Y2" s="144" t="s">
        <v>29</v>
      </c>
      <c r="Z2" s="144" t="s">
        <v>30</v>
      </c>
      <c r="AA2" s="144" t="s">
        <v>31</v>
      </c>
      <c r="AB2" s="31" t="s">
        <v>32</v>
      </c>
    </row>
    <row r="3" spans="1:28" s="54" customFormat="1" ht="42" customHeight="1">
      <c r="A3" s="225">
        <v>1</v>
      </c>
      <c r="B3" s="220">
        <v>311</v>
      </c>
      <c r="C3" s="220" t="s">
        <v>46</v>
      </c>
      <c r="D3" s="220" t="s">
        <v>678</v>
      </c>
      <c r="E3" s="220">
        <v>2002143</v>
      </c>
      <c r="F3" s="220" t="s">
        <v>52</v>
      </c>
      <c r="G3" s="259" t="s">
        <v>77</v>
      </c>
      <c r="H3" s="220" t="s">
        <v>49</v>
      </c>
      <c r="I3" s="222">
        <v>2.928</v>
      </c>
      <c r="J3" s="220" t="s">
        <v>91</v>
      </c>
      <c r="K3" s="37">
        <v>2829662.48</v>
      </c>
      <c r="L3" s="173">
        <v>1414831.24</v>
      </c>
      <c r="M3" s="37">
        <v>1414831.24</v>
      </c>
      <c r="N3" s="183">
        <v>0.5</v>
      </c>
      <c r="O3" s="175">
        <v>0</v>
      </c>
      <c r="P3" s="175">
        <v>424449.41</v>
      </c>
      <c r="Q3" s="175">
        <v>424449.41</v>
      </c>
      <c r="R3" s="175">
        <v>565932.42</v>
      </c>
      <c r="S3" s="176"/>
      <c r="T3" s="176"/>
      <c r="U3" s="176"/>
      <c r="V3" s="176"/>
      <c r="W3" s="176"/>
      <c r="X3" s="176"/>
      <c r="Y3" s="144" t="b">
        <f>L3=SUM(O3:X3)</f>
        <v>1</v>
      </c>
      <c r="Z3" s="215">
        <f>ROUND(L3/K3,4)</f>
        <v>0.5</v>
      </c>
      <c r="AA3" s="216" t="b">
        <f>Z3=N3</f>
        <v>1</v>
      </c>
      <c r="AB3" s="216" t="b">
        <f>K3=L3+M3</f>
        <v>1</v>
      </c>
    </row>
    <row r="4" spans="1:28" s="54" customFormat="1" ht="37.5" customHeight="1">
      <c r="A4" s="225">
        <v>2</v>
      </c>
      <c r="B4" s="220">
        <v>71</v>
      </c>
      <c r="C4" s="220" t="s">
        <v>46</v>
      </c>
      <c r="D4" s="220" t="s">
        <v>679</v>
      </c>
      <c r="E4" s="220">
        <v>2062011</v>
      </c>
      <c r="F4" s="220" t="s">
        <v>56</v>
      </c>
      <c r="G4" s="259" t="s">
        <v>78</v>
      </c>
      <c r="H4" s="184" t="s">
        <v>49</v>
      </c>
      <c r="I4" s="222">
        <v>0.78354</v>
      </c>
      <c r="J4" s="223" t="s">
        <v>226</v>
      </c>
      <c r="K4" s="37">
        <v>2881680.98</v>
      </c>
      <c r="L4" s="173">
        <v>2017176.68</v>
      </c>
      <c r="M4" s="37">
        <v>864504.3</v>
      </c>
      <c r="N4" s="183">
        <v>0.7</v>
      </c>
      <c r="O4" s="175">
        <v>0</v>
      </c>
      <c r="P4" s="176">
        <v>807765.03</v>
      </c>
      <c r="Q4" s="176">
        <v>935007.33</v>
      </c>
      <c r="R4" s="175">
        <v>274404.32</v>
      </c>
      <c r="S4" s="176"/>
      <c r="T4" s="176"/>
      <c r="U4" s="176"/>
      <c r="V4" s="176"/>
      <c r="W4" s="176"/>
      <c r="X4" s="176"/>
      <c r="Y4" s="144" t="b">
        <f>L4=SUM(O4:X4)</f>
        <v>1</v>
      </c>
      <c r="Z4" s="215">
        <f>ROUND(L4/K4,4)</f>
        <v>0.7</v>
      </c>
      <c r="AA4" s="216" t="b">
        <f>Z4=N4</f>
        <v>1</v>
      </c>
      <c r="AB4" s="216" t="b">
        <f>K4=L4+M4</f>
        <v>1</v>
      </c>
    </row>
    <row r="5" spans="1:28" s="54" customFormat="1" ht="37.5" customHeight="1">
      <c r="A5" s="225">
        <v>3</v>
      </c>
      <c r="B5" s="220">
        <v>120</v>
      </c>
      <c r="C5" s="220" t="s">
        <v>46</v>
      </c>
      <c r="D5" s="220" t="s">
        <v>680</v>
      </c>
      <c r="E5" s="220">
        <v>2013033</v>
      </c>
      <c r="F5" s="220" t="s">
        <v>58</v>
      </c>
      <c r="G5" s="259" t="s">
        <v>79</v>
      </c>
      <c r="H5" s="184" t="s">
        <v>50</v>
      </c>
      <c r="I5" s="222">
        <v>0.46995</v>
      </c>
      <c r="J5" s="223" t="s">
        <v>242</v>
      </c>
      <c r="K5" s="37">
        <v>1114421.03</v>
      </c>
      <c r="L5" s="173">
        <v>557210.51</v>
      </c>
      <c r="M5" s="37">
        <v>557210.52</v>
      </c>
      <c r="N5" s="183">
        <v>0.5</v>
      </c>
      <c r="O5" s="175">
        <v>0</v>
      </c>
      <c r="P5" s="176">
        <v>268347.21</v>
      </c>
      <c r="Q5" s="176">
        <v>288863.3</v>
      </c>
      <c r="R5" s="176"/>
      <c r="S5" s="176"/>
      <c r="T5" s="176"/>
      <c r="U5" s="176"/>
      <c r="V5" s="176"/>
      <c r="W5" s="176"/>
      <c r="X5" s="176"/>
      <c r="Y5" s="144" t="b">
        <f>L5=SUM(O5:X5)</f>
        <v>1</v>
      </c>
      <c r="Z5" s="215">
        <f>ROUND(L5/K5,4)</f>
        <v>0.5</v>
      </c>
      <c r="AA5" s="216" t="b">
        <f>Z5=N5</f>
        <v>1</v>
      </c>
      <c r="AB5" s="216" t="b">
        <f>K5=L5+M5</f>
        <v>1</v>
      </c>
    </row>
    <row r="6" spans="1:28" s="54" customFormat="1" ht="37.5" customHeight="1">
      <c r="A6" s="225">
        <v>4</v>
      </c>
      <c r="B6" s="220">
        <v>49</v>
      </c>
      <c r="C6" s="220" t="s">
        <v>46</v>
      </c>
      <c r="D6" s="220" t="s">
        <v>681</v>
      </c>
      <c r="E6" s="220">
        <v>2013011</v>
      </c>
      <c r="F6" s="220" t="s">
        <v>58</v>
      </c>
      <c r="G6" s="259" t="s">
        <v>80</v>
      </c>
      <c r="H6" s="184" t="s">
        <v>49</v>
      </c>
      <c r="I6" s="222">
        <v>1.115</v>
      </c>
      <c r="J6" s="223" t="s">
        <v>81</v>
      </c>
      <c r="K6" s="37">
        <v>8011234.02</v>
      </c>
      <c r="L6" s="173">
        <v>4005617.01</v>
      </c>
      <c r="M6" s="37">
        <v>4005617.01</v>
      </c>
      <c r="N6" s="183">
        <v>0.5</v>
      </c>
      <c r="O6" s="175">
        <v>0</v>
      </c>
      <c r="P6" s="176">
        <v>1586575.25</v>
      </c>
      <c r="Q6" s="176">
        <v>951945.15</v>
      </c>
      <c r="R6" s="175">
        <v>1467096.61</v>
      </c>
      <c r="S6" s="176"/>
      <c r="T6" s="176"/>
      <c r="U6" s="176"/>
      <c r="V6" s="176"/>
      <c r="W6" s="176"/>
      <c r="X6" s="176"/>
      <c r="Y6" s="144" t="b">
        <f>L6=SUM(O6:X6)</f>
        <v>1</v>
      </c>
      <c r="Z6" s="215">
        <f>ROUND(L6/K6,4)</f>
        <v>0.5</v>
      </c>
      <c r="AA6" s="216" t="b">
        <f>Z6=N6</f>
        <v>1</v>
      </c>
      <c r="AB6" s="216" t="b">
        <f>K6=L6+M6</f>
        <v>1</v>
      </c>
    </row>
    <row r="7" spans="1:28" s="54" customFormat="1" ht="37.5" customHeight="1">
      <c r="A7" s="225">
        <v>5</v>
      </c>
      <c r="B7" s="220">
        <v>10</v>
      </c>
      <c r="C7" s="220" t="s">
        <v>46</v>
      </c>
      <c r="D7" s="220" t="s">
        <v>682</v>
      </c>
      <c r="E7" s="220">
        <v>2004022</v>
      </c>
      <c r="F7" s="220" t="s">
        <v>54</v>
      </c>
      <c r="G7" s="259" t="s">
        <v>85</v>
      </c>
      <c r="H7" s="220" t="s">
        <v>50</v>
      </c>
      <c r="I7" s="222">
        <v>4.05</v>
      </c>
      <c r="J7" s="220" t="s">
        <v>227</v>
      </c>
      <c r="K7" s="37">
        <v>3314631.43</v>
      </c>
      <c r="L7" s="173">
        <v>1657315.72</v>
      </c>
      <c r="M7" s="37">
        <v>1657315.7100000002</v>
      </c>
      <c r="N7" s="183">
        <v>0.5</v>
      </c>
      <c r="O7" s="175">
        <v>0</v>
      </c>
      <c r="P7" s="176">
        <v>154558.68</v>
      </c>
      <c r="Q7" s="176">
        <v>1502757.04</v>
      </c>
      <c r="R7" s="176"/>
      <c r="S7" s="176"/>
      <c r="T7" s="176"/>
      <c r="U7" s="176"/>
      <c r="V7" s="176"/>
      <c r="W7" s="176"/>
      <c r="X7" s="176"/>
      <c r="Y7" s="144" t="b">
        <f aca="true" t="shared" si="0" ref="Y7:Y17">L7=SUM(O7:X7)</f>
        <v>1</v>
      </c>
      <c r="Z7" s="215">
        <f aca="true" t="shared" si="1" ref="Z7:Z17">ROUND(L7/K7,4)</f>
        <v>0.5</v>
      </c>
      <c r="AA7" s="216" t="b">
        <f aca="true" t="shared" si="2" ref="AA7:AA17">Z7=N7</f>
        <v>1</v>
      </c>
      <c r="AB7" s="216" t="b">
        <f aca="true" t="shared" si="3" ref="AB7:AB17">K7=L7+M7</f>
        <v>1</v>
      </c>
    </row>
    <row r="8" spans="1:28" s="54" customFormat="1" ht="37.5" customHeight="1">
      <c r="A8" s="225">
        <v>6</v>
      </c>
      <c r="B8" s="220">
        <v>286</v>
      </c>
      <c r="C8" s="220" t="s">
        <v>46</v>
      </c>
      <c r="D8" s="220" t="s">
        <v>683</v>
      </c>
      <c r="E8" s="220">
        <v>2002063</v>
      </c>
      <c r="F8" s="220" t="s">
        <v>52</v>
      </c>
      <c r="G8" s="259" t="s">
        <v>228</v>
      </c>
      <c r="H8" s="184" t="s">
        <v>50</v>
      </c>
      <c r="I8" s="222">
        <v>1.174</v>
      </c>
      <c r="J8" s="220" t="s">
        <v>229</v>
      </c>
      <c r="K8" s="37">
        <v>2301966.61</v>
      </c>
      <c r="L8" s="173">
        <v>1611376.63</v>
      </c>
      <c r="M8" s="37">
        <v>690589.98</v>
      </c>
      <c r="N8" s="183">
        <v>0.7</v>
      </c>
      <c r="O8" s="175">
        <v>0</v>
      </c>
      <c r="P8" s="176">
        <v>247151.13</v>
      </c>
      <c r="Q8" s="176">
        <v>659366.06</v>
      </c>
      <c r="R8" s="175">
        <v>704859.44</v>
      </c>
      <c r="S8" s="176"/>
      <c r="T8" s="176"/>
      <c r="U8" s="176"/>
      <c r="V8" s="176"/>
      <c r="W8" s="176"/>
      <c r="X8" s="176"/>
      <c r="Y8" s="144" t="b">
        <f t="shared" si="0"/>
        <v>1</v>
      </c>
      <c r="Z8" s="215">
        <f t="shared" si="1"/>
        <v>0.7</v>
      </c>
      <c r="AA8" s="216" t="b">
        <f t="shared" si="2"/>
        <v>1</v>
      </c>
      <c r="AB8" s="216" t="b">
        <f t="shared" si="3"/>
        <v>1</v>
      </c>
    </row>
    <row r="9" spans="1:28" s="54" customFormat="1" ht="41.25" customHeight="1">
      <c r="A9" s="225">
        <v>7</v>
      </c>
      <c r="B9" s="220">
        <v>294</v>
      </c>
      <c r="C9" s="220" t="s">
        <v>46</v>
      </c>
      <c r="D9" s="220" t="s">
        <v>684</v>
      </c>
      <c r="E9" s="220">
        <v>2002063</v>
      </c>
      <c r="F9" s="220" t="s">
        <v>52</v>
      </c>
      <c r="G9" s="259" t="s">
        <v>87</v>
      </c>
      <c r="H9" s="184" t="s">
        <v>49</v>
      </c>
      <c r="I9" s="222">
        <v>1.138</v>
      </c>
      <c r="J9" s="220" t="s">
        <v>230</v>
      </c>
      <c r="K9" s="37">
        <v>3832058.4</v>
      </c>
      <c r="L9" s="173">
        <v>2682440.88</v>
      </c>
      <c r="M9" s="37">
        <v>1149617.52</v>
      </c>
      <c r="N9" s="183">
        <v>0.7</v>
      </c>
      <c r="O9" s="175">
        <v>0</v>
      </c>
      <c r="P9" s="176">
        <v>306757.85</v>
      </c>
      <c r="Q9" s="176">
        <v>1221699.07</v>
      </c>
      <c r="R9" s="175">
        <v>1153983.96</v>
      </c>
      <c r="S9" s="176"/>
      <c r="T9" s="176"/>
      <c r="U9" s="176"/>
      <c r="V9" s="176"/>
      <c r="W9" s="176"/>
      <c r="X9" s="176"/>
      <c r="Y9" s="144" t="b">
        <f t="shared" si="0"/>
        <v>1</v>
      </c>
      <c r="Z9" s="215">
        <f t="shared" si="1"/>
        <v>0.7</v>
      </c>
      <c r="AA9" s="216" t="b">
        <f t="shared" si="2"/>
        <v>1</v>
      </c>
      <c r="AB9" s="216" t="b">
        <f t="shared" si="3"/>
        <v>1</v>
      </c>
    </row>
    <row r="10" spans="1:28" s="54" customFormat="1" ht="37.5" customHeight="1">
      <c r="A10" s="225">
        <v>8</v>
      </c>
      <c r="B10" s="220">
        <v>291</v>
      </c>
      <c r="C10" s="220" t="s">
        <v>46</v>
      </c>
      <c r="D10" s="220" t="s">
        <v>683</v>
      </c>
      <c r="E10" s="220">
        <v>2002063</v>
      </c>
      <c r="F10" s="220" t="s">
        <v>52</v>
      </c>
      <c r="G10" s="259" t="s">
        <v>88</v>
      </c>
      <c r="H10" s="184" t="s">
        <v>50</v>
      </c>
      <c r="I10" s="222">
        <v>0.32062</v>
      </c>
      <c r="J10" s="220" t="s">
        <v>231</v>
      </c>
      <c r="K10" s="37">
        <v>1350648.19</v>
      </c>
      <c r="L10" s="173">
        <v>945453.73</v>
      </c>
      <c r="M10" s="37">
        <v>405194.45999999996</v>
      </c>
      <c r="N10" s="183">
        <v>0.7</v>
      </c>
      <c r="O10" s="175">
        <v>0</v>
      </c>
      <c r="P10" s="176">
        <v>416769.13</v>
      </c>
      <c r="Q10" s="176">
        <v>528684.6</v>
      </c>
      <c r="R10" s="175"/>
      <c r="S10" s="176"/>
      <c r="T10" s="176"/>
      <c r="U10" s="176"/>
      <c r="V10" s="176"/>
      <c r="W10" s="176"/>
      <c r="X10" s="176"/>
      <c r="Y10" s="144" t="b">
        <f t="shared" si="0"/>
        <v>1</v>
      </c>
      <c r="Z10" s="215">
        <f t="shared" si="1"/>
        <v>0.7</v>
      </c>
      <c r="AA10" s="216" t="b">
        <f t="shared" si="2"/>
        <v>1</v>
      </c>
      <c r="AB10" s="216" t="b">
        <f t="shared" si="3"/>
        <v>1</v>
      </c>
    </row>
    <row r="11" spans="1:28" s="55" customFormat="1" ht="37.5" customHeight="1">
      <c r="A11" s="225">
        <v>9</v>
      </c>
      <c r="B11" s="220">
        <v>12</v>
      </c>
      <c r="C11" s="220" t="s">
        <v>46</v>
      </c>
      <c r="D11" s="220" t="s">
        <v>682</v>
      </c>
      <c r="E11" s="220">
        <v>2004022</v>
      </c>
      <c r="F11" s="220" t="s">
        <v>54</v>
      </c>
      <c r="G11" s="259" t="s">
        <v>90</v>
      </c>
      <c r="H11" s="220" t="s">
        <v>50</v>
      </c>
      <c r="I11" s="222">
        <v>2.241</v>
      </c>
      <c r="J11" s="220" t="s">
        <v>227</v>
      </c>
      <c r="K11" s="37">
        <v>1332898.28</v>
      </c>
      <c r="L11" s="173">
        <v>666449.14</v>
      </c>
      <c r="M11" s="37">
        <v>666449.14</v>
      </c>
      <c r="N11" s="183">
        <v>0.5</v>
      </c>
      <c r="O11" s="175">
        <v>0</v>
      </c>
      <c r="P11" s="176">
        <v>145600.47</v>
      </c>
      <c r="Q11" s="176">
        <v>520848.67</v>
      </c>
      <c r="R11" s="176"/>
      <c r="S11" s="176"/>
      <c r="T11" s="176"/>
      <c r="U11" s="176"/>
      <c r="V11" s="176"/>
      <c r="W11" s="176"/>
      <c r="X11" s="176"/>
      <c r="Y11" s="144" t="b">
        <f t="shared" si="0"/>
        <v>1</v>
      </c>
      <c r="Z11" s="215">
        <f t="shared" si="1"/>
        <v>0.5</v>
      </c>
      <c r="AA11" s="216" t="b">
        <f t="shared" si="2"/>
        <v>1</v>
      </c>
      <c r="AB11" s="216" t="b">
        <f t="shared" si="3"/>
        <v>1</v>
      </c>
    </row>
    <row r="12" spans="1:28" s="54" customFormat="1" ht="37.5" customHeight="1">
      <c r="A12" s="225">
        <v>10</v>
      </c>
      <c r="B12" s="220">
        <v>76</v>
      </c>
      <c r="C12" s="220" t="s">
        <v>46</v>
      </c>
      <c r="D12" s="220" t="s">
        <v>685</v>
      </c>
      <c r="E12" s="220">
        <v>2014011</v>
      </c>
      <c r="F12" s="220" t="s">
        <v>61</v>
      </c>
      <c r="G12" s="259" t="s">
        <v>94</v>
      </c>
      <c r="H12" s="184" t="s">
        <v>49</v>
      </c>
      <c r="I12" s="222">
        <v>0.8</v>
      </c>
      <c r="J12" s="223" t="s">
        <v>232</v>
      </c>
      <c r="K12" s="37">
        <v>3204400.76</v>
      </c>
      <c r="L12" s="173">
        <v>1922640.45</v>
      </c>
      <c r="M12" s="37">
        <v>1281760.3099999998</v>
      </c>
      <c r="N12" s="183">
        <v>0.6</v>
      </c>
      <c r="O12" s="175">
        <v>0</v>
      </c>
      <c r="P12" s="176">
        <v>254557.59</v>
      </c>
      <c r="Q12" s="176">
        <v>694073.2</v>
      </c>
      <c r="R12" s="175">
        <v>974009.66</v>
      </c>
      <c r="S12" s="176"/>
      <c r="T12" s="176"/>
      <c r="U12" s="176"/>
      <c r="V12" s="176"/>
      <c r="W12" s="176"/>
      <c r="X12" s="176"/>
      <c r="Y12" s="144" t="b">
        <f t="shared" si="0"/>
        <v>1</v>
      </c>
      <c r="Z12" s="215">
        <f t="shared" si="1"/>
        <v>0.6</v>
      </c>
      <c r="AA12" s="216" t="b">
        <f t="shared" si="2"/>
        <v>1</v>
      </c>
      <c r="AB12" s="216" t="b">
        <f t="shared" si="3"/>
        <v>1</v>
      </c>
    </row>
    <row r="13" spans="1:28" s="56" customFormat="1" ht="37.5" customHeight="1">
      <c r="A13" s="225">
        <v>11</v>
      </c>
      <c r="B13" s="220">
        <v>21</v>
      </c>
      <c r="C13" s="220" t="s">
        <v>46</v>
      </c>
      <c r="D13" s="220" t="s">
        <v>686</v>
      </c>
      <c r="E13" s="220">
        <v>2003011</v>
      </c>
      <c r="F13" s="220" t="s">
        <v>55</v>
      </c>
      <c r="G13" s="259" t="s">
        <v>95</v>
      </c>
      <c r="H13" s="184" t="s">
        <v>49</v>
      </c>
      <c r="I13" s="222">
        <v>1.558</v>
      </c>
      <c r="J13" s="220" t="s">
        <v>89</v>
      </c>
      <c r="K13" s="37">
        <v>7305806.4</v>
      </c>
      <c r="L13" s="173">
        <f>K13*N13</f>
        <v>4383483.84</v>
      </c>
      <c r="M13" s="37">
        <f>K13-L13</f>
        <v>2922322.5600000005</v>
      </c>
      <c r="N13" s="183">
        <v>0.6</v>
      </c>
      <c r="O13" s="175">
        <v>0</v>
      </c>
      <c r="P13" s="176">
        <v>3704231.39</v>
      </c>
      <c r="Q13" s="176">
        <v>679252.45</v>
      </c>
      <c r="R13" s="175"/>
      <c r="S13" s="176"/>
      <c r="T13" s="176"/>
      <c r="U13" s="176"/>
      <c r="V13" s="176"/>
      <c r="W13" s="176"/>
      <c r="X13" s="176"/>
      <c r="Y13" s="144" t="b">
        <f t="shared" si="0"/>
        <v>1</v>
      </c>
      <c r="Z13" s="215">
        <f t="shared" si="1"/>
        <v>0.6</v>
      </c>
      <c r="AA13" s="216" t="b">
        <f t="shared" si="2"/>
        <v>1</v>
      </c>
      <c r="AB13" s="216" t="b">
        <f t="shared" si="3"/>
        <v>1</v>
      </c>
    </row>
    <row r="14" spans="1:28" s="56" customFormat="1" ht="37.5" customHeight="1">
      <c r="A14" s="225">
        <v>12</v>
      </c>
      <c r="B14" s="220">
        <v>72</v>
      </c>
      <c r="C14" s="220" t="s">
        <v>46</v>
      </c>
      <c r="D14" s="220" t="s">
        <v>687</v>
      </c>
      <c r="E14" s="220">
        <v>2062011</v>
      </c>
      <c r="F14" s="220" t="s">
        <v>56</v>
      </c>
      <c r="G14" s="259" t="s">
        <v>96</v>
      </c>
      <c r="H14" s="184" t="s">
        <v>49</v>
      </c>
      <c r="I14" s="222">
        <v>0.71993</v>
      </c>
      <c r="J14" s="223" t="s">
        <v>226</v>
      </c>
      <c r="K14" s="37">
        <v>2906451.28</v>
      </c>
      <c r="L14" s="173">
        <v>2034515.89</v>
      </c>
      <c r="M14" s="37">
        <v>871935.3899999999</v>
      </c>
      <c r="N14" s="183">
        <v>0.7</v>
      </c>
      <c r="O14" s="175">
        <v>0</v>
      </c>
      <c r="P14" s="176">
        <v>874993.46</v>
      </c>
      <c r="Q14" s="176">
        <v>891940.33</v>
      </c>
      <c r="R14" s="175">
        <v>267582.1</v>
      </c>
      <c r="S14" s="176"/>
      <c r="T14" s="176"/>
      <c r="U14" s="176"/>
      <c r="V14" s="176"/>
      <c r="W14" s="176"/>
      <c r="X14" s="176"/>
      <c r="Y14" s="144" t="b">
        <f t="shared" si="0"/>
        <v>1</v>
      </c>
      <c r="Z14" s="215">
        <f t="shared" si="1"/>
        <v>0.7</v>
      </c>
      <c r="AA14" s="216" t="b">
        <f t="shared" si="2"/>
        <v>1</v>
      </c>
      <c r="AB14" s="216" t="b">
        <f t="shared" si="3"/>
        <v>1</v>
      </c>
    </row>
    <row r="15" spans="1:28" s="56" customFormat="1" ht="37.5" customHeight="1">
      <c r="A15" s="225">
        <v>13</v>
      </c>
      <c r="B15" s="220">
        <v>296</v>
      </c>
      <c r="C15" s="220" t="s">
        <v>46</v>
      </c>
      <c r="D15" s="220" t="s">
        <v>683</v>
      </c>
      <c r="E15" s="220">
        <v>2002063</v>
      </c>
      <c r="F15" s="220" t="s">
        <v>52</v>
      </c>
      <c r="G15" s="259" t="s">
        <v>97</v>
      </c>
      <c r="H15" s="184" t="s">
        <v>50</v>
      </c>
      <c r="I15" s="222">
        <v>0.3724</v>
      </c>
      <c r="J15" s="220" t="s">
        <v>233</v>
      </c>
      <c r="K15" s="37">
        <v>2024956.65</v>
      </c>
      <c r="L15" s="173">
        <v>1417469.66</v>
      </c>
      <c r="M15" s="37">
        <v>607486.99</v>
      </c>
      <c r="N15" s="183">
        <v>0.7</v>
      </c>
      <c r="O15" s="175">
        <v>0</v>
      </c>
      <c r="P15" s="176">
        <v>631477.64</v>
      </c>
      <c r="Q15" s="176">
        <v>785992.02</v>
      </c>
      <c r="R15" s="175"/>
      <c r="S15" s="176"/>
      <c r="T15" s="176"/>
      <c r="U15" s="176"/>
      <c r="V15" s="176"/>
      <c r="W15" s="176"/>
      <c r="X15" s="176"/>
      <c r="Y15" s="144" t="b">
        <f t="shared" si="0"/>
        <v>1</v>
      </c>
      <c r="Z15" s="215">
        <f t="shared" si="1"/>
        <v>0.7</v>
      </c>
      <c r="AA15" s="216" t="b">
        <f t="shared" si="2"/>
        <v>1</v>
      </c>
      <c r="AB15" s="216" t="b">
        <f t="shared" si="3"/>
        <v>1</v>
      </c>
    </row>
    <row r="16" spans="1:28" s="56" customFormat="1" ht="37.5" customHeight="1">
      <c r="A16" s="225">
        <v>14</v>
      </c>
      <c r="B16" s="220">
        <v>75</v>
      </c>
      <c r="C16" s="220" t="s">
        <v>46</v>
      </c>
      <c r="D16" s="220" t="s">
        <v>679</v>
      </c>
      <c r="E16" s="220">
        <v>2062011</v>
      </c>
      <c r="F16" s="220" t="s">
        <v>56</v>
      </c>
      <c r="G16" s="259" t="s">
        <v>98</v>
      </c>
      <c r="H16" s="184" t="s">
        <v>50</v>
      </c>
      <c r="I16" s="222">
        <v>0.969</v>
      </c>
      <c r="J16" s="223" t="s">
        <v>226</v>
      </c>
      <c r="K16" s="37">
        <v>3917649.34</v>
      </c>
      <c r="L16" s="173">
        <v>2742354.53</v>
      </c>
      <c r="M16" s="37">
        <v>1175294.81</v>
      </c>
      <c r="N16" s="183">
        <v>0.7</v>
      </c>
      <c r="O16" s="175">
        <v>0</v>
      </c>
      <c r="P16" s="176">
        <v>1081673.46</v>
      </c>
      <c r="Q16" s="176">
        <v>1177348.52</v>
      </c>
      <c r="R16" s="175">
        <v>483332.55</v>
      </c>
      <c r="S16" s="176"/>
      <c r="T16" s="176"/>
      <c r="U16" s="176"/>
      <c r="V16" s="176"/>
      <c r="W16" s="176"/>
      <c r="X16" s="176"/>
      <c r="Y16" s="144" t="b">
        <f t="shared" si="0"/>
        <v>1</v>
      </c>
      <c r="Z16" s="215">
        <f t="shared" si="1"/>
        <v>0.7</v>
      </c>
      <c r="AA16" s="216" t="b">
        <f t="shared" si="2"/>
        <v>1</v>
      </c>
      <c r="AB16" s="216" t="b">
        <f t="shared" si="3"/>
        <v>1</v>
      </c>
    </row>
    <row r="17" spans="1:28" s="56" customFormat="1" ht="37.5" customHeight="1">
      <c r="A17" s="225">
        <v>15</v>
      </c>
      <c r="B17" s="220">
        <v>22</v>
      </c>
      <c r="C17" s="220" t="s">
        <v>46</v>
      </c>
      <c r="D17" s="220" t="s">
        <v>688</v>
      </c>
      <c r="E17" s="220">
        <v>2003011</v>
      </c>
      <c r="F17" s="220" t="s">
        <v>55</v>
      </c>
      <c r="G17" s="259" t="s">
        <v>99</v>
      </c>
      <c r="H17" s="184" t="s">
        <v>49</v>
      </c>
      <c r="I17" s="222">
        <v>0.506</v>
      </c>
      <c r="J17" s="220" t="s">
        <v>234</v>
      </c>
      <c r="K17" s="37">
        <v>2394377.81</v>
      </c>
      <c r="L17" s="173">
        <f>K17*N17</f>
        <v>1436626.686</v>
      </c>
      <c r="M17" s="37">
        <f>K17-L17</f>
        <v>957751.1240000001</v>
      </c>
      <c r="N17" s="183">
        <v>0.6</v>
      </c>
      <c r="O17" s="175">
        <v>0</v>
      </c>
      <c r="P17" s="176">
        <v>615708.36</v>
      </c>
      <c r="Q17" s="176">
        <f>L17-P17</f>
        <v>820918.326</v>
      </c>
      <c r="R17" s="175"/>
      <c r="S17" s="176"/>
      <c r="T17" s="176"/>
      <c r="U17" s="176"/>
      <c r="V17" s="176"/>
      <c r="W17" s="176"/>
      <c r="X17" s="176"/>
      <c r="Y17" s="144" t="b">
        <f t="shared" si="0"/>
        <v>1</v>
      </c>
      <c r="Z17" s="215">
        <f t="shared" si="1"/>
        <v>0.6</v>
      </c>
      <c r="AA17" s="216" t="b">
        <f t="shared" si="2"/>
        <v>1</v>
      </c>
      <c r="AB17" s="216" t="b">
        <f t="shared" si="3"/>
        <v>1</v>
      </c>
    </row>
    <row r="18" spans="1:28" ht="37.5" customHeight="1">
      <c r="A18" s="225">
        <v>16</v>
      </c>
      <c r="B18" s="220">
        <v>218</v>
      </c>
      <c r="C18" s="220" t="s">
        <v>46</v>
      </c>
      <c r="D18" s="220" t="s">
        <v>689</v>
      </c>
      <c r="E18" s="220">
        <v>2004011</v>
      </c>
      <c r="F18" s="220" t="s">
        <v>54</v>
      </c>
      <c r="G18" s="221" t="s">
        <v>141</v>
      </c>
      <c r="H18" s="184" t="s">
        <v>50</v>
      </c>
      <c r="I18" s="222">
        <v>2.041</v>
      </c>
      <c r="J18" s="223" t="s">
        <v>248</v>
      </c>
      <c r="K18" s="37">
        <v>8486360.27</v>
      </c>
      <c r="L18" s="173">
        <f aca="true" t="shared" si="4" ref="L18:L24">ROUNDDOWN(K18*N18,2)</f>
        <v>5940452.18</v>
      </c>
      <c r="M18" s="37">
        <f aca="true" t="shared" si="5" ref="M18:M33">K18-L18</f>
        <v>2545908.09</v>
      </c>
      <c r="N18" s="183">
        <v>0.7</v>
      </c>
      <c r="O18" s="175">
        <v>0</v>
      </c>
      <c r="P18" s="175">
        <v>0</v>
      </c>
      <c r="Q18" s="176">
        <v>1554699.9</v>
      </c>
      <c r="R18" s="176">
        <v>2294693.83</v>
      </c>
      <c r="S18" s="175">
        <v>2091058.45</v>
      </c>
      <c r="T18" s="175"/>
      <c r="U18" s="175"/>
      <c r="V18" s="175"/>
      <c r="W18" s="175"/>
      <c r="X18" s="180"/>
      <c r="Y18" s="144" t="b">
        <f>L18=SUM(O18:X18)</f>
        <v>1</v>
      </c>
      <c r="Z18" s="215">
        <f>ROUND(L18/K18,4)</f>
        <v>0.7</v>
      </c>
      <c r="AA18" s="216" t="b">
        <f>Z18=N18</f>
        <v>1</v>
      </c>
      <c r="AB18" s="216" t="b">
        <f>K18=L18+M18</f>
        <v>1</v>
      </c>
    </row>
    <row r="19" spans="1:28" ht="37.5" customHeight="1">
      <c r="A19" s="225">
        <v>17</v>
      </c>
      <c r="B19" s="220">
        <v>109</v>
      </c>
      <c r="C19" s="220" t="s">
        <v>46</v>
      </c>
      <c r="D19" s="220" t="s">
        <v>690</v>
      </c>
      <c r="E19" s="220">
        <v>2013011</v>
      </c>
      <c r="F19" s="220" t="s">
        <v>58</v>
      </c>
      <c r="G19" s="221" t="s">
        <v>143</v>
      </c>
      <c r="H19" s="184" t="s">
        <v>49</v>
      </c>
      <c r="I19" s="222">
        <v>0.96</v>
      </c>
      <c r="J19" s="223" t="s">
        <v>144</v>
      </c>
      <c r="K19" s="37">
        <v>11816965.52</v>
      </c>
      <c r="L19" s="173">
        <f t="shared" si="4"/>
        <v>5908482.76</v>
      </c>
      <c r="M19" s="37">
        <f t="shared" si="5"/>
        <v>5908482.76</v>
      </c>
      <c r="N19" s="183">
        <v>0.5</v>
      </c>
      <c r="O19" s="175">
        <v>0</v>
      </c>
      <c r="P19" s="175">
        <v>0</v>
      </c>
      <c r="Q19" s="176">
        <v>1584821.7</v>
      </c>
      <c r="R19" s="176">
        <v>2377232.55</v>
      </c>
      <c r="S19" s="175">
        <v>1946428.51</v>
      </c>
      <c r="T19" s="175"/>
      <c r="U19" s="175"/>
      <c r="V19" s="175"/>
      <c r="W19" s="175"/>
      <c r="X19" s="180"/>
      <c r="Y19" s="144" t="b">
        <f>L19=SUM(O19:X19)</f>
        <v>1</v>
      </c>
      <c r="Z19" s="215">
        <f>ROUND(L19/K19,4)</f>
        <v>0.5</v>
      </c>
      <c r="AA19" s="216" t="b">
        <f>Z19=N19</f>
        <v>1</v>
      </c>
      <c r="AB19" s="216" t="b">
        <f>K19=L19+M19</f>
        <v>1</v>
      </c>
    </row>
    <row r="20" spans="1:28" ht="44.25" customHeight="1">
      <c r="A20" s="225">
        <v>18</v>
      </c>
      <c r="B20" s="220">
        <v>152</v>
      </c>
      <c r="C20" s="220" t="s">
        <v>46</v>
      </c>
      <c r="D20" s="220" t="s">
        <v>691</v>
      </c>
      <c r="E20" s="220">
        <v>2011082</v>
      </c>
      <c r="F20" s="220" t="s">
        <v>53</v>
      </c>
      <c r="G20" s="221" t="s">
        <v>145</v>
      </c>
      <c r="H20" s="184" t="s">
        <v>49</v>
      </c>
      <c r="I20" s="222">
        <v>0.947</v>
      </c>
      <c r="J20" s="223" t="s">
        <v>133</v>
      </c>
      <c r="K20" s="37">
        <v>2745010.45</v>
      </c>
      <c r="L20" s="173">
        <f t="shared" si="4"/>
        <v>1372505.22</v>
      </c>
      <c r="M20" s="37">
        <f t="shared" si="5"/>
        <v>1372505.2300000002</v>
      </c>
      <c r="N20" s="183">
        <v>0.5</v>
      </c>
      <c r="O20" s="175">
        <v>0</v>
      </c>
      <c r="P20" s="175">
        <v>0</v>
      </c>
      <c r="Q20" s="176">
        <v>692840.63</v>
      </c>
      <c r="R20" s="176">
        <v>679664.59</v>
      </c>
      <c r="S20" s="175"/>
      <c r="T20" s="175"/>
      <c r="U20" s="175"/>
      <c r="V20" s="175"/>
      <c r="W20" s="175"/>
      <c r="X20" s="180"/>
      <c r="Y20" s="144" t="b">
        <f>L20=SUM(O20:X20)</f>
        <v>1</v>
      </c>
      <c r="Z20" s="215">
        <f>ROUND(L20/K20,4)</f>
        <v>0.5</v>
      </c>
      <c r="AA20" s="216" t="b">
        <f>Z20=N20</f>
        <v>1</v>
      </c>
      <c r="AB20" s="216" t="b">
        <f>K20=L20+M20</f>
        <v>1</v>
      </c>
    </row>
    <row r="21" spans="1:28" ht="37.5" customHeight="1">
      <c r="A21" s="225">
        <v>19</v>
      </c>
      <c r="B21" s="220">
        <v>315</v>
      </c>
      <c r="C21" s="220" t="s">
        <v>46</v>
      </c>
      <c r="D21" s="220" t="s">
        <v>692</v>
      </c>
      <c r="E21" s="220">
        <v>2008013</v>
      </c>
      <c r="F21" s="220" t="s">
        <v>59</v>
      </c>
      <c r="G21" s="221" t="s">
        <v>149</v>
      </c>
      <c r="H21" s="184" t="s">
        <v>49</v>
      </c>
      <c r="I21" s="222">
        <v>0.74895</v>
      </c>
      <c r="J21" s="223" t="s">
        <v>670</v>
      </c>
      <c r="K21" s="37">
        <v>1421464.99</v>
      </c>
      <c r="L21" s="173">
        <f t="shared" si="4"/>
        <v>710732.49</v>
      </c>
      <c r="M21" s="37">
        <f t="shared" si="5"/>
        <v>710732.5</v>
      </c>
      <c r="N21" s="183">
        <v>0.5</v>
      </c>
      <c r="O21" s="175">
        <v>0</v>
      </c>
      <c r="P21" s="175">
        <v>0</v>
      </c>
      <c r="Q21" s="271">
        <v>1185.44</v>
      </c>
      <c r="R21" s="271">
        <v>3402.5</v>
      </c>
      <c r="S21" s="271">
        <v>706144.55</v>
      </c>
      <c r="T21" s="175"/>
      <c r="U21" s="175"/>
      <c r="V21" s="175"/>
      <c r="W21" s="175"/>
      <c r="X21" s="180"/>
      <c r="Y21" s="144" t="b">
        <f>L21=SUM(O21:X21)</f>
        <v>1</v>
      </c>
      <c r="Z21" s="215">
        <f>ROUND(L21/K21,4)</f>
        <v>0.5</v>
      </c>
      <c r="AA21" s="216" t="b">
        <f>Z21=N21</f>
        <v>1</v>
      </c>
      <c r="AB21" s="216" t="b">
        <f>K21=L21+M21</f>
        <v>1</v>
      </c>
    </row>
    <row r="22" spans="1:28" ht="37.5" customHeight="1">
      <c r="A22" s="225">
        <v>20</v>
      </c>
      <c r="B22" s="220">
        <v>250</v>
      </c>
      <c r="C22" s="220" t="s">
        <v>46</v>
      </c>
      <c r="D22" s="220" t="s">
        <v>693</v>
      </c>
      <c r="E22" s="220">
        <v>2012022</v>
      </c>
      <c r="F22" s="220" t="s">
        <v>57</v>
      </c>
      <c r="G22" s="221" t="s">
        <v>151</v>
      </c>
      <c r="H22" s="184" t="s">
        <v>49</v>
      </c>
      <c r="I22" s="222">
        <v>1.80603</v>
      </c>
      <c r="J22" s="223" t="s">
        <v>246</v>
      </c>
      <c r="K22" s="37">
        <v>1814507.58</v>
      </c>
      <c r="L22" s="173">
        <f t="shared" si="4"/>
        <v>907253.79</v>
      </c>
      <c r="M22" s="37">
        <f t="shared" si="5"/>
        <v>907253.79</v>
      </c>
      <c r="N22" s="183">
        <v>0.5</v>
      </c>
      <c r="O22" s="175">
        <v>0</v>
      </c>
      <c r="P22" s="175">
        <v>0</v>
      </c>
      <c r="Q22" s="175">
        <v>64777.92</v>
      </c>
      <c r="R22" s="176">
        <v>323708.15</v>
      </c>
      <c r="S22" s="175">
        <v>518767.72</v>
      </c>
      <c r="T22" s="175"/>
      <c r="U22" s="175"/>
      <c r="V22" s="175"/>
      <c r="W22" s="175"/>
      <c r="X22" s="180"/>
      <c r="Y22" s="144" t="b">
        <f>L22=SUM(O22:X22)</f>
        <v>1</v>
      </c>
      <c r="Z22" s="215">
        <f>ROUND(L22/K22,4)</f>
        <v>0.5</v>
      </c>
      <c r="AA22" s="216" t="b">
        <f>Z22=N22</f>
        <v>1</v>
      </c>
      <c r="AB22" s="216" t="b">
        <f>K22=L22+M22</f>
        <v>1</v>
      </c>
    </row>
    <row r="23" spans="1:28" ht="37.5" customHeight="1">
      <c r="A23" s="225">
        <v>21</v>
      </c>
      <c r="B23" s="220">
        <v>332</v>
      </c>
      <c r="C23" s="220" t="s">
        <v>46</v>
      </c>
      <c r="D23" s="220" t="s">
        <v>694</v>
      </c>
      <c r="E23" s="220">
        <v>2004032</v>
      </c>
      <c r="F23" s="220" t="s">
        <v>54</v>
      </c>
      <c r="G23" s="221" t="s">
        <v>152</v>
      </c>
      <c r="H23" s="184" t="s">
        <v>47</v>
      </c>
      <c r="I23" s="222">
        <v>1.1406</v>
      </c>
      <c r="J23" s="223" t="s">
        <v>146</v>
      </c>
      <c r="K23" s="37">
        <v>1758232.46</v>
      </c>
      <c r="L23" s="173">
        <f t="shared" si="4"/>
        <v>879116.23</v>
      </c>
      <c r="M23" s="37">
        <f t="shared" si="5"/>
        <v>879116.23</v>
      </c>
      <c r="N23" s="183">
        <v>0.5</v>
      </c>
      <c r="O23" s="175">
        <v>0</v>
      </c>
      <c r="P23" s="175">
        <v>0</v>
      </c>
      <c r="Q23" s="176">
        <v>296066.58</v>
      </c>
      <c r="R23" s="176">
        <f>L23-Q23</f>
        <v>583049.6499999999</v>
      </c>
      <c r="S23" s="175"/>
      <c r="T23" s="175"/>
      <c r="U23" s="175"/>
      <c r="V23" s="175"/>
      <c r="W23" s="175"/>
      <c r="X23" s="180"/>
      <c r="Y23" s="144" t="b">
        <f aca="true" t="shared" si="6" ref="Y23:Y31">L23=SUM(O23:X23)</f>
        <v>1</v>
      </c>
      <c r="Z23" s="215">
        <f aca="true" t="shared" si="7" ref="Z23:Z31">ROUND(L23/K23,4)</f>
        <v>0.5</v>
      </c>
      <c r="AA23" s="216" t="b">
        <f aca="true" t="shared" si="8" ref="AA23:AA31">Z23=N23</f>
        <v>1</v>
      </c>
      <c r="AB23" s="216" t="b">
        <f aca="true" t="shared" si="9" ref="AB23:AB31">K23=L23+M23</f>
        <v>1</v>
      </c>
    </row>
    <row r="24" spans="1:28" ht="37.5" customHeight="1">
      <c r="A24" s="225">
        <v>22</v>
      </c>
      <c r="B24" s="220">
        <v>452</v>
      </c>
      <c r="C24" s="220" t="s">
        <v>46</v>
      </c>
      <c r="D24" s="220" t="s">
        <v>695</v>
      </c>
      <c r="E24" s="220">
        <v>2002112</v>
      </c>
      <c r="F24" s="220" t="s">
        <v>52</v>
      </c>
      <c r="G24" s="221" t="s">
        <v>153</v>
      </c>
      <c r="H24" s="184" t="s">
        <v>50</v>
      </c>
      <c r="I24" s="222">
        <v>0.72</v>
      </c>
      <c r="J24" s="223" t="s">
        <v>249</v>
      </c>
      <c r="K24" s="37">
        <v>1379749.67</v>
      </c>
      <c r="L24" s="173">
        <f t="shared" si="4"/>
        <v>689874.83</v>
      </c>
      <c r="M24" s="37">
        <f t="shared" si="5"/>
        <v>689874.84</v>
      </c>
      <c r="N24" s="183">
        <v>0.5</v>
      </c>
      <c r="O24" s="175">
        <v>0</v>
      </c>
      <c r="P24" s="175">
        <v>0</v>
      </c>
      <c r="Q24" s="179">
        <v>17074.55</v>
      </c>
      <c r="R24" s="179">
        <v>672800.28</v>
      </c>
      <c r="S24" s="180"/>
      <c r="T24" s="180"/>
      <c r="U24" s="180"/>
      <c r="V24" s="180"/>
      <c r="W24" s="180"/>
      <c r="X24" s="180"/>
      <c r="Y24" s="144" t="b">
        <f t="shared" si="6"/>
        <v>1</v>
      </c>
      <c r="Z24" s="215">
        <f t="shared" si="7"/>
        <v>0.5</v>
      </c>
      <c r="AA24" s="216" t="b">
        <f t="shared" si="8"/>
        <v>1</v>
      </c>
      <c r="AB24" s="216" t="b">
        <f t="shared" si="9"/>
        <v>1</v>
      </c>
    </row>
    <row r="25" spans="1:28" ht="37.5" customHeight="1">
      <c r="A25" s="225">
        <v>23</v>
      </c>
      <c r="B25" s="220">
        <v>113</v>
      </c>
      <c r="C25" s="220" t="s">
        <v>46</v>
      </c>
      <c r="D25" s="220" t="s">
        <v>696</v>
      </c>
      <c r="E25" s="220">
        <v>2007013</v>
      </c>
      <c r="F25" s="220" t="s">
        <v>62</v>
      </c>
      <c r="G25" s="221" t="s">
        <v>154</v>
      </c>
      <c r="H25" s="184" t="s">
        <v>50</v>
      </c>
      <c r="I25" s="222">
        <v>0.492</v>
      </c>
      <c r="J25" s="223" t="s">
        <v>159</v>
      </c>
      <c r="K25" s="37">
        <v>513625.19</v>
      </c>
      <c r="L25" s="173">
        <v>229029.37</v>
      </c>
      <c r="M25" s="37">
        <f t="shared" si="5"/>
        <v>284595.82</v>
      </c>
      <c r="N25" s="183">
        <f>ROUNDDOWN(L25/K25,4)</f>
        <v>0.4459</v>
      </c>
      <c r="O25" s="175">
        <v>0</v>
      </c>
      <c r="P25" s="175">
        <v>0</v>
      </c>
      <c r="Q25" s="179">
        <v>10000</v>
      </c>
      <c r="R25" s="179">
        <v>219029.37</v>
      </c>
      <c r="S25" s="175"/>
      <c r="T25" s="175"/>
      <c r="U25" s="175"/>
      <c r="V25" s="175"/>
      <c r="W25" s="175"/>
      <c r="X25" s="175"/>
      <c r="Y25" s="144" t="b">
        <f t="shared" si="6"/>
        <v>1</v>
      </c>
      <c r="Z25" s="272">
        <f t="shared" si="7"/>
        <v>0.4459</v>
      </c>
      <c r="AA25" s="216" t="b">
        <f t="shared" si="8"/>
        <v>1</v>
      </c>
      <c r="AB25" s="216" t="b">
        <f t="shared" si="9"/>
        <v>1</v>
      </c>
    </row>
    <row r="26" spans="1:28" ht="37.5" customHeight="1">
      <c r="A26" s="225">
        <v>24</v>
      </c>
      <c r="B26" s="220">
        <v>455</v>
      </c>
      <c r="C26" s="220" t="s">
        <v>46</v>
      </c>
      <c r="D26" s="220" t="s">
        <v>695</v>
      </c>
      <c r="E26" s="220">
        <v>2002112</v>
      </c>
      <c r="F26" s="220" t="s">
        <v>52</v>
      </c>
      <c r="G26" s="221" t="s">
        <v>160</v>
      </c>
      <c r="H26" s="184" t="s">
        <v>50</v>
      </c>
      <c r="I26" s="222">
        <v>1.88</v>
      </c>
      <c r="J26" s="223" t="s">
        <v>250</v>
      </c>
      <c r="K26" s="37">
        <v>2904238.91</v>
      </c>
      <c r="L26" s="173">
        <f aca="true" t="shared" si="10" ref="L26:L33">ROUNDDOWN(K26*N26,2)</f>
        <v>1452119.45</v>
      </c>
      <c r="M26" s="37">
        <f t="shared" si="5"/>
        <v>1452119.4600000002</v>
      </c>
      <c r="N26" s="183">
        <v>0.5</v>
      </c>
      <c r="O26" s="175">
        <v>0</v>
      </c>
      <c r="P26" s="175">
        <v>0</v>
      </c>
      <c r="Q26" s="176">
        <v>24712.14</v>
      </c>
      <c r="R26" s="176">
        <v>1427407.31</v>
      </c>
      <c r="S26" s="175"/>
      <c r="T26" s="175"/>
      <c r="U26" s="175"/>
      <c r="V26" s="175"/>
      <c r="W26" s="175"/>
      <c r="X26" s="180"/>
      <c r="Y26" s="144" t="b">
        <f t="shared" si="6"/>
        <v>1</v>
      </c>
      <c r="Z26" s="215">
        <f t="shared" si="7"/>
        <v>0.5</v>
      </c>
      <c r="AA26" s="216" t="b">
        <f t="shared" si="8"/>
        <v>1</v>
      </c>
      <c r="AB26" s="216" t="b">
        <f t="shared" si="9"/>
        <v>1</v>
      </c>
    </row>
    <row r="27" spans="1:28" ht="37.5" customHeight="1">
      <c r="A27" s="225">
        <v>25</v>
      </c>
      <c r="B27" s="220">
        <v>135</v>
      </c>
      <c r="C27" s="220" t="s">
        <v>46</v>
      </c>
      <c r="D27" s="220" t="s">
        <v>697</v>
      </c>
      <c r="E27" s="220">
        <v>2007013</v>
      </c>
      <c r="F27" s="220" t="s">
        <v>62</v>
      </c>
      <c r="G27" s="221" t="s">
        <v>161</v>
      </c>
      <c r="H27" s="184" t="s">
        <v>50</v>
      </c>
      <c r="I27" s="222">
        <v>0.39796</v>
      </c>
      <c r="J27" s="223" t="s">
        <v>103</v>
      </c>
      <c r="K27" s="37">
        <v>296650</v>
      </c>
      <c r="L27" s="173">
        <f t="shared" si="10"/>
        <v>148325</v>
      </c>
      <c r="M27" s="37">
        <f t="shared" si="5"/>
        <v>148325</v>
      </c>
      <c r="N27" s="183">
        <v>0.5</v>
      </c>
      <c r="O27" s="175">
        <v>0</v>
      </c>
      <c r="P27" s="175">
        <v>0</v>
      </c>
      <c r="Q27" s="176">
        <f>5000*N27</f>
        <v>2500</v>
      </c>
      <c r="R27" s="176">
        <v>145825</v>
      </c>
      <c r="S27" s="175"/>
      <c r="T27" s="175"/>
      <c r="U27" s="175"/>
      <c r="V27" s="175"/>
      <c r="W27" s="175"/>
      <c r="X27" s="180"/>
      <c r="Y27" s="144" t="b">
        <f t="shared" si="6"/>
        <v>1</v>
      </c>
      <c r="Z27" s="215">
        <f t="shared" si="7"/>
        <v>0.5</v>
      </c>
      <c r="AA27" s="216" t="b">
        <f t="shared" si="8"/>
        <v>1</v>
      </c>
      <c r="AB27" s="216" t="b">
        <f t="shared" si="9"/>
        <v>1</v>
      </c>
    </row>
    <row r="28" spans="1:28" ht="37.5" customHeight="1">
      <c r="A28" s="225">
        <v>26</v>
      </c>
      <c r="B28" s="220">
        <v>345</v>
      </c>
      <c r="C28" s="220" t="s">
        <v>46</v>
      </c>
      <c r="D28" s="220" t="s">
        <v>698</v>
      </c>
      <c r="E28" s="220">
        <v>2002123</v>
      </c>
      <c r="F28" s="220" t="s">
        <v>52</v>
      </c>
      <c r="G28" s="221" t="s">
        <v>165</v>
      </c>
      <c r="H28" s="184" t="s">
        <v>50</v>
      </c>
      <c r="I28" s="222">
        <v>0.6485</v>
      </c>
      <c r="J28" s="223" t="s">
        <v>660</v>
      </c>
      <c r="K28" s="37">
        <v>841204.47</v>
      </c>
      <c r="L28" s="173">
        <f t="shared" si="10"/>
        <v>420602.23</v>
      </c>
      <c r="M28" s="37">
        <f t="shared" si="5"/>
        <v>420602.24</v>
      </c>
      <c r="N28" s="183">
        <v>0.5</v>
      </c>
      <c r="O28" s="175">
        <v>0</v>
      </c>
      <c r="P28" s="175">
        <v>0</v>
      </c>
      <c r="Q28" s="176">
        <v>4878.57</v>
      </c>
      <c r="R28" s="176">
        <v>415723.66</v>
      </c>
      <c r="S28" s="175"/>
      <c r="T28" s="175"/>
      <c r="U28" s="175"/>
      <c r="V28" s="175"/>
      <c r="W28" s="175"/>
      <c r="X28" s="180"/>
      <c r="Y28" s="144" t="b">
        <f t="shared" si="6"/>
        <v>1</v>
      </c>
      <c r="Z28" s="215">
        <f t="shared" si="7"/>
        <v>0.5</v>
      </c>
      <c r="AA28" s="216" t="b">
        <f t="shared" si="8"/>
        <v>1</v>
      </c>
      <c r="AB28" s="216" t="b">
        <f t="shared" si="9"/>
        <v>1</v>
      </c>
    </row>
    <row r="29" spans="1:28" ht="37.5" customHeight="1">
      <c r="A29" s="225">
        <v>27</v>
      </c>
      <c r="B29" s="220">
        <v>234</v>
      </c>
      <c r="C29" s="220" t="s">
        <v>46</v>
      </c>
      <c r="D29" s="220" t="s">
        <v>699</v>
      </c>
      <c r="E29" s="220">
        <v>2006011</v>
      </c>
      <c r="F29" s="220" t="s">
        <v>147</v>
      </c>
      <c r="G29" s="221" t="s">
        <v>239</v>
      </c>
      <c r="H29" s="225" t="s">
        <v>50</v>
      </c>
      <c r="I29" s="225">
        <v>0.188</v>
      </c>
      <c r="J29" s="225" t="s">
        <v>179</v>
      </c>
      <c r="K29" s="37">
        <v>1394163.91</v>
      </c>
      <c r="L29" s="173">
        <f t="shared" si="10"/>
        <v>836498.34</v>
      </c>
      <c r="M29" s="37">
        <f t="shared" si="5"/>
        <v>557665.57</v>
      </c>
      <c r="N29" s="183">
        <v>0.6</v>
      </c>
      <c r="O29" s="175">
        <v>0</v>
      </c>
      <c r="P29" s="175">
        <v>0</v>
      </c>
      <c r="Q29" s="176">
        <v>392490.48</v>
      </c>
      <c r="R29" s="176">
        <f>L29-Q29</f>
        <v>444007.86</v>
      </c>
      <c r="S29" s="175"/>
      <c r="T29" s="175"/>
      <c r="U29" s="175"/>
      <c r="V29" s="175"/>
      <c r="W29" s="175"/>
      <c r="X29" s="180"/>
      <c r="Y29" s="144" t="b">
        <f t="shared" si="6"/>
        <v>1</v>
      </c>
      <c r="Z29" s="215">
        <f t="shared" si="7"/>
        <v>0.6</v>
      </c>
      <c r="AA29" s="216" t="b">
        <f t="shared" si="8"/>
        <v>1</v>
      </c>
      <c r="AB29" s="216" t="b">
        <f t="shared" si="9"/>
        <v>1</v>
      </c>
    </row>
    <row r="30" spans="1:28" ht="37.5" customHeight="1">
      <c r="A30" s="225">
        <v>28</v>
      </c>
      <c r="B30" s="220">
        <v>165</v>
      </c>
      <c r="C30" s="220" t="s">
        <v>46</v>
      </c>
      <c r="D30" s="220" t="s">
        <v>700</v>
      </c>
      <c r="E30" s="220">
        <v>2007013</v>
      </c>
      <c r="F30" s="220" t="s">
        <v>62</v>
      </c>
      <c r="G30" s="221" t="s">
        <v>167</v>
      </c>
      <c r="H30" s="184" t="s">
        <v>50</v>
      </c>
      <c r="I30" s="222">
        <v>0.263</v>
      </c>
      <c r="J30" s="223" t="s">
        <v>159</v>
      </c>
      <c r="K30" s="37">
        <v>247346.13</v>
      </c>
      <c r="L30" s="173">
        <f t="shared" si="10"/>
        <v>123673.06</v>
      </c>
      <c r="M30" s="37">
        <f t="shared" si="5"/>
        <v>123673.07</v>
      </c>
      <c r="N30" s="183">
        <v>0.5</v>
      </c>
      <c r="O30" s="175">
        <v>0</v>
      </c>
      <c r="P30" s="175">
        <v>0</v>
      </c>
      <c r="Q30" s="179">
        <f>20000*N30</f>
        <v>10000</v>
      </c>
      <c r="R30" s="179">
        <v>113673.06</v>
      </c>
      <c r="S30" s="180"/>
      <c r="T30" s="180"/>
      <c r="U30" s="180"/>
      <c r="V30" s="180"/>
      <c r="W30" s="180"/>
      <c r="X30" s="180"/>
      <c r="Y30" s="144" t="b">
        <f t="shared" si="6"/>
        <v>1</v>
      </c>
      <c r="Z30" s="215">
        <f t="shared" si="7"/>
        <v>0.5</v>
      </c>
      <c r="AA30" s="216" t="b">
        <f t="shared" si="8"/>
        <v>1</v>
      </c>
      <c r="AB30" s="216" t="b">
        <f t="shared" si="9"/>
        <v>1</v>
      </c>
    </row>
    <row r="31" spans="1:28" ht="37.5" customHeight="1">
      <c r="A31" s="225">
        <v>29</v>
      </c>
      <c r="B31" s="220">
        <v>61</v>
      </c>
      <c r="C31" s="220" t="s">
        <v>46</v>
      </c>
      <c r="D31" s="220" t="s">
        <v>701</v>
      </c>
      <c r="E31" s="220">
        <v>2007022</v>
      </c>
      <c r="F31" s="220" t="s">
        <v>62</v>
      </c>
      <c r="G31" s="221" t="s">
        <v>168</v>
      </c>
      <c r="H31" s="184" t="s">
        <v>50</v>
      </c>
      <c r="I31" s="222">
        <v>0.75793</v>
      </c>
      <c r="J31" s="223" t="s">
        <v>669</v>
      </c>
      <c r="K31" s="37">
        <v>2173727.73</v>
      </c>
      <c r="L31" s="173">
        <f t="shared" si="10"/>
        <v>1086863.86</v>
      </c>
      <c r="M31" s="37">
        <f t="shared" si="5"/>
        <v>1086863.8699999999</v>
      </c>
      <c r="N31" s="183">
        <v>0.5</v>
      </c>
      <c r="O31" s="175">
        <v>0</v>
      </c>
      <c r="P31" s="175">
        <v>0</v>
      </c>
      <c r="Q31" s="176">
        <v>41016</v>
      </c>
      <c r="R31" s="176">
        <v>1045847.86</v>
      </c>
      <c r="S31" s="175"/>
      <c r="T31" s="175"/>
      <c r="U31" s="175"/>
      <c r="V31" s="175"/>
      <c r="W31" s="175"/>
      <c r="X31" s="180"/>
      <c r="Y31" s="144" t="b">
        <f t="shared" si="6"/>
        <v>1</v>
      </c>
      <c r="Z31" s="215">
        <f t="shared" si="7"/>
        <v>0.5</v>
      </c>
      <c r="AA31" s="216" t="b">
        <f t="shared" si="8"/>
        <v>1</v>
      </c>
      <c r="AB31" s="216" t="b">
        <f t="shared" si="9"/>
        <v>1</v>
      </c>
    </row>
    <row r="32" spans="1:28" ht="37.5" customHeight="1">
      <c r="A32" s="225">
        <v>30</v>
      </c>
      <c r="B32" s="220">
        <v>383</v>
      </c>
      <c r="C32" s="220" t="s">
        <v>46</v>
      </c>
      <c r="D32" s="220" t="s">
        <v>702</v>
      </c>
      <c r="E32" s="220">
        <v>2004022</v>
      </c>
      <c r="F32" s="220" t="s">
        <v>54</v>
      </c>
      <c r="G32" s="221" t="s">
        <v>170</v>
      </c>
      <c r="H32" s="184" t="s">
        <v>50</v>
      </c>
      <c r="I32" s="222">
        <v>0.3804</v>
      </c>
      <c r="J32" s="223" t="s">
        <v>245</v>
      </c>
      <c r="K32" s="37">
        <v>541871.19</v>
      </c>
      <c r="L32" s="173">
        <f t="shared" si="10"/>
        <v>270935.59</v>
      </c>
      <c r="M32" s="37">
        <f t="shared" si="5"/>
        <v>270935.5999999999</v>
      </c>
      <c r="N32" s="183">
        <v>0.5</v>
      </c>
      <c r="O32" s="175">
        <v>0</v>
      </c>
      <c r="P32" s="175">
        <v>0</v>
      </c>
      <c r="Q32" s="176">
        <v>677.34</v>
      </c>
      <c r="R32" s="176">
        <v>80603.34</v>
      </c>
      <c r="S32" s="175">
        <v>189654.91</v>
      </c>
      <c r="T32" s="175"/>
      <c r="U32" s="175"/>
      <c r="V32" s="175"/>
      <c r="W32" s="175"/>
      <c r="X32" s="180"/>
      <c r="Y32" s="144" t="b">
        <f>L32=SUM(O32:X32)</f>
        <v>1</v>
      </c>
      <c r="Z32" s="215">
        <f>ROUND(L32/K32,4)</f>
        <v>0.5</v>
      </c>
      <c r="AA32" s="216" t="b">
        <f>Z32=N32</f>
        <v>1</v>
      </c>
      <c r="AB32" s="216" t="b">
        <f>K32=L32+M32</f>
        <v>1</v>
      </c>
    </row>
    <row r="33" spans="1:28" ht="37.5" customHeight="1">
      <c r="A33" s="225">
        <v>31</v>
      </c>
      <c r="B33" s="220">
        <v>85</v>
      </c>
      <c r="C33" s="220" t="s">
        <v>46</v>
      </c>
      <c r="D33" s="220" t="s">
        <v>703</v>
      </c>
      <c r="E33" s="220">
        <v>2012052</v>
      </c>
      <c r="F33" s="220" t="s">
        <v>57</v>
      </c>
      <c r="G33" s="221" t="s">
        <v>171</v>
      </c>
      <c r="H33" s="184" t="s">
        <v>49</v>
      </c>
      <c r="I33" s="222">
        <v>1.605</v>
      </c>
      <c r="J33" s="223" t="s">
        <v>241</v>
      </c>
      <c r="K33" s="37">
        <v>1036452.94</v>
      </c>
      <c r="L33" s="173">
        <f t="shared" si="10"/>
        <v>518226.47</v>
      </c>
      <c r="M33" s="37">
        <f t="shared" si="5"/>
        <v>518226.47</v>
      </c>
      <c r="N33" s="183">
        <v>0.5</v>
      </c>
      <c r="O33" s="175">
        <v>0</v>
      </c>
      <c r="P33" s="175">
        <v>0</v>
      </c>
      <c r="Q33" s="176">
        <v>217655.12</v>
      </c>
      <c r="R33" s="176">
        <f>L33-Q33</f>
        <v>300571.35</v>
      </c>
      <c r="S33" s="175"/>
      <c r="T33" s="175"/>
      <c r="U33" s="175"/>
      <c r="V33" s="175"/>
      <c r="W33" s="175"/>
      <c r="X33" s="180"/>
      <c r="Y33" s="144" t="b">
        <f>L33=SUM(O33:X33)</f>
        <v>1</v>
      </c>
      <c r="Z33" s="215">
        <f>ROUND(L33/K33,4)</f>
        <v>0.5</v>
      </c>
      <c r="AA33" s="216" t="b">
        <f>Z33=N33</f>
        <v>1</v>
      </c>
      <c r="AB33" s="216" t="b">
        <f>K33=L33+M33</f>
        <v>1</v>
      </c>
    </row>
    <row r="34" spans="1:28" s="21" customFormat="1" ht="37.5" customHeight="1">
      <c r="A34" s="225">
        <v>32</v>
      </c>
      <c r="B34" s="220">
        <v>349</v>
      </c>
      <c r="C34" s="220" t="s">
        <v>46</v>
      </c>
      <c r="D34" s="220" t="s">
        <v>148</v>
      </c>
      <c r="E34" s="220">
        <v>2004062</v>
      </c>
      <c r="F34" s="220" t="s">
        <v>54</v>
      </c>
      <c r="G34" s="221" t="s">
        <v>200</v>
      </c>
      <c r="H34" s="184" t="s">
        <v>50</v>
      </c>
      <c r="I34" s="222">
        <v>1.45</v>
      </c>
      <c r="J34" s="223" t="s">
        <v>201</v>
      </c>
      <c r="K34" s="37">
        <v>1242808.41</v>
      </c>
      <c r="L34" s="173">
        <f>ROUNDDOWN(K34*N34,2)</f>
        <v>621404.2</v>
      </c>
      <c r="M34" s="37">
        <f>K34-L34</f>
        <v>621404.21</v>
      </c>
      <c r="N34" s="183">
        <v>0.5</v>
      </c>
      <c r="O34" s="175">
        <v>0</v>
      </c>
      <c r="P34" s="175">
        <v>0</v>
      </c>
      <c r="Q34" s="181">
        <f>(605400*N34)</f>
        <v>302700</v>
      </c>
      <c r="R34" s="181">
        <f>ROUNDDOWN(637408.41*N34,2)</f>
        <v>318704.2</v>
      </c>
      <c r="S34" s="180"/>
      <c r="T34" s="180"/>
      <c r="U34" s="180"/>
      <c r="V34" s="180"/>
      <c r="W34" s="180"/>
      <c r="X34" s="180"/>
      <c r="Y34" s="31" t="b">
        <f>L34=SUM(O34:X34)</f>
        <v>1</v>
      </c>
      <c r="Z34" s="149">
        <f>ROUND(L34/K34,4)</f>
        <v>0.5</v>
      </c>
      <c r="AA34" s="150" t="b">
        <f>Z34=N34</f>
        <v>1</v>
      </c>
      <c r="AB34" s="150" t="b">
        <f>K34=L34+M34</f>
        <v>1</v>
      </c>
    </row>
    <row r="35" spans="1:28" s="21" customFormat="1" ht="37.5" customHeight="1">
      <c r="A35" s="225">
        <v>33</v>
      </c>
      <c r="B35" s="220">
        <v>252</v>
      </c>
      <c r="C35" s="220" t="s">
        <v>46</v>
      </c>
      <c r="D35" s="220" t="s">
        <v>673</v>
      </c>
      <c r="E35" s="220">
        <v>2012022</v>
      </c>
      <c r="F35" s="220" t="s">
        <v>57</v>
      </c>
      <c r="G35" s="221" t="s">
        <v>193</v>
      </c>
      <c r="H35" s="184" t="s">
        <v>49</v>
      </c>
      <c r="I35" s="222">
        <v>2.8</v>
      </c>
      <c r="J35" s="223" t="s">
        <v>194</v>
      </c>
      <c r="K35" s="37">
        <v>3583614.46</v>
      </c>
      <c r="L35" s="173">
        <f>ROUNDDOWN(K35*N35,2)</f>
        <v>1791807.23</v>
      </c>
      <c r="M35" s="37">
        <f>K35-L35</f>
        <v>1791807.23</v>
      </c>
      <c r="N35" s="183">
        <v>0.5</v>
      </c>
      <c r="O35" s="175">
        <v>0</v>
      </c>
      <c r="P35" s="175">
        <v>0</v>
      </c>
      <c r="Q35" s="179">
        <f>98400*N35</f>
        <v>49200</v>
      </c>
      <c r="R35" s="179">
        <f>(1500000*N35)</f>
        <v>750000</v>
      </c>
      <c r="S35" s="179">
        <f>1500000*N35</f>
        <v>750000</v>
      </c>
      <c r="T35" s="179">
        <f>485214.46*N35</f>
        <v>242607.23</v>
      </c>
      <c r="U35" s="180"/>
      <c r="V35" s="180"/>
      <c r="W35" s="180"/>
      <c r="X35" s="180"/>
      <c r="Y35" s="31" t="b">
        <f>L35=SUM(O35:X35)</f>
        <v>1</v>
      </c>
      <c r="Z35" s="149">
        <f>ROUND(L35/K35,4)</f>
        <v>0.5</v>
      </c>
      <c r="AA35" s="150" t="b">
        <f>Z35=N35</f>
        <v>1</v>
      </c>
      <c r="AB35" s="150" t="b">
        <f>K35=L35+M35</f>
        <v>1</v>
      </c>
    </row>
    <row r="36" spans="1:28" s="20" customFormat="1" ht="37.5" customHeight="1">
      <c r="A36" s="225">
        <v>34</v>
      </c>
      <c r="B36" s="220">
        <v>125</v>
      </c>
      <c r="C36" s="220" t="s">
        <v>46</v>
      </c>
      <c r="D36" s="220" t="s">
        <v>93</v>
      </c>
      <c r="E36" s="220">
        <v>2014011</v>
      </c>
      <c r="F36" s="220" t="s">
        <v>61</v>
      </c>
      <c r="G36" s="221" t="s">
        <v>191</v>
      </c>
      <c r="H36" s="184" t="s">
        <v>49</v>
      </c>
      <c r="I36" s="222">
        <v>0.35</v>
      </c>
      <c r="J36" s="223" t="s">
        <v>192</v>
      </c>
      <c r="K36" s="37">
        <v>1917727</v>
      </c>
      <c r="L36" s="173">
        <f>ROUNDDOWN(K36*N36,2)</f>
        <v>1150636.2</v>
      </c>
      <c r="M36" s="37">
        <f>K36-L36</f>
        <v>767090.8</v>
      </c>
      <c r="N36" s="183">
        <v>0.6</v>
      </c>
      <c r="O36" s="175">
        <v>0</v>
      </c>
      <c r="P36" s="175">
        <v>0</v>
      </c>
      <c r="Q36" s="179">
        <f>500000*N36</f>
        <v>300000</v>
      </c>
      <c r="R36" s="179">
        <f>850636.2</f>
        <v>850636.2</v>
      </c>
      <c r="S36" s="175"/>
      <c r="T36" s="175"/>
      <c r="U36" s="180"/>
      <c r="V36" s="180"/>
      <c r="W36" s="180"/>
      <c r="X36" s="180"/>
      <c r="Y36" s="31" t="b">
        <f>L36=SUM(O36:X36)</f>
        <v>1</v>
      </c>
      <c r="Z36" s="149">
        <f>ROUND(L36/K36,4)</f>
        <v>0.6</v>
      </c>
      <c r="AA36" s="150" t="b">
        <f>Z36=N36</f>
        <v>1</v>
      </c>
      <c r="AB36" s="150" t="b">
        <f>K36=L36+M36</f>
        <v>1</v>
      </c>
    </row>
    <row r="37" spans="1:28" s="20" customFormat="1" ht="37.5" customHeight="1">
      <c r="A37" s="225" t="s">
        <v>704</v>
      </c>
      <c r="B37" s="220">
        <v>254</v>
      </c>
      <c r="C37" s="220" t="s">
        <v>46</v>
      </c>
      <c r="D37" s="220" t="s">
        <v>60</v>
      </c>
      <c r="E37" s="220">
        <v>2002133</v>
      </c>
      <c r="F37" s="220" t="s">
        <v>52</v>
      </c>
      <c r="G37" s="221" t="s">
        <v>674</v>
      </c>
      <c r="H37" s="184" t="s">
        <v>50</v>
      </c>
      <c r="I37" s="222">
        <v>1.328</v>
      </c>
      <c r="J37" s="223" t="s">
        <v>675</v>
      </c>
      <c r="K37" s="37">
        <v>2384205</v>
      </c>
      <c r="L37" s="173">
        <f>ROUNDDOWN(K37*N37,2)-792102.5</f>
        <v>400000</v>
      </c>
      <c r="M37" s="37">
        <f>K37-L37</f>
        <v>1984205</v>
      </c>
      <c r="N37" s="183">
        <v>0.5</v>
      </c>
      <c r="O37" s="175">
        <v>0</v>
      </c>
      <c r="P37" s="175">
        <v>0</v>
      </c>
      <c r="Q37" s="179">
        <f>800000*N37</f>
        <v>400000</v>
      </c>
      <c r="R37" s="179">
        <f>(1584205*N37)-792102.5</f>
        <v>0</v>
      </c>
      <c r="S37" s="175"/>
      <c r="T37" s="175"/>
      <c r="U37" s="180"/>
      <c r="V37" s="180"/>
      <c r="W37" s="180"/>
      <c r="X37" s="180"/>
      <c r="Y37" s="31"/>
      <c r="Z37" s="149"/>
      <c r="AA37" s="150"/>
      <c r="AB37" s="150"/>
    </row>
    <row r="38" spans="1:28" s="20" customFormat="1" ht="37.5" customHeight="1">
      <c r="A38" s="225" t="s">
        <v>705</v>
      </c>
      <c r="B38" s="220">
        <v>311</v>
      </c>
      <c r="C38" s="220" t="s">
        <v>46</v>
      </c>
      <c r="D38" s="220" t="s">
        <v>677</v>
      </c>
      <c r="E38" s="220">
        <v>2002052</v>
      </c>
      <c r="F38" s="220" t="s">
        <v>52</v>
      </c>
      <c r="G38" s="221" t="s">
        <v>676</v>
      </c>
      <c r="H38" s="184" t="s">
        <v>49</v>
      </c>
      <c r="I38" s="222">
        <v>0.948</v>
      </c>
      <c r="J38" s="223" t="s">
        <v>113</v>
      </c>
      <c r="K38" s="37">
        <v>4563102.2</v>
      </c>
      <c r="L38" s="173">
        <f>ROUNDDOWN(K38*N38,2)-1368930.66</f>
        <v>912620.4400000002</v>
      </c>
      <c r="M38" s="37">
        <f>K38-L38</f>
        <v>3650481.76</v>
      </c>
      <c r="N38" s="183">
        <v>0.5</v>
      </c>
      <c r="O38" s="175">
        <v>0</v>
      </c>
      <c r="P38" s="175">
        <v>0</v>
      </c>
      <c r="Q38" s="179">
        <f>1825240.88*N38</f>
        <v>912620.44</v>
      </c>
      <c r="R38" s="179"/>
      <c r="S38" s="175"/>
      <c r="T38" s="175"/>
      <c r="U38" s="180"/>
      <c r="V38" s="180"/>
      <c r="W38" s="180"/>
      <c r="X38" s="180"/>
      <c r="Y38" s="31"/>
      <c r="Z38" s="149"/>
      <c r="AA38" s="150"/>
      <c r="AB38" s="150"/>
    </row>
    <row r="39" spans="1:28" s="274" customFormat="1" ht="37.5" customHeight="1">
      <c r="A39" s="282">
        <v>37</v>
      </c>
      <c r="B39" s="283">
        <v>355</v>
      </c>
      <c r="C39" s="283" t="s">
        <v>65</v>
      </c>
      <c r="D39" s="283" t="s">
        <v>403</v>
      </c>
      <c r="E39" s="284">
        <v>2011072</v>
      </c>
      <c r="F39" s="283" t="s">
        <v>53</v>
      </c>
      <c r="G39" s="285" t="s">
        <v>404</v>
      </c>
      <c r="H39" s="286" t="s">
        <v>50</v>
      </c>
      <c r="I39" s="287">
        <v>4.3</v>
      </c>
      <c r="J39" s="288" t="s">
        <v>385</v>
      </c>
      <c r="K39" s="289">
        <v>5372000</v>
      </c>
      <c r="L39" s="333">
        <f>ROUNDDOWN(K39*N39,2)</f>
        <v>3760400</v>
      </c>
      <c r="M39" s="289">
        <f aca="true" t="shared" si="11" ref="M39:M123">K39-L39</f>
        <v>1611600</v>
      </c>
      <c r="N39" s="334">
        <v>0.7</v>
      </c>
      <c r="O39" s="290">
        <v>0</v>
      </c>
      <c r="P39" s="290">
        <v>0</v>
      </c>
      <c r="Q39" s="291">
        <v>0</v>
      </c>
      <c r="R39" s="290">
        <f>L39-S39</f>
        <v>3725400</v>
      </c>
      <c r="S39" s="290">
        <f>50000*N39</f>
        <v>35000</v>
      </c>
      <c r="T39" s="290"/>
      <c r="U39" s="292"/>
      <c r="V39" s="293"/>
      <c r="W39" s="293"/>
      <c r="X39" s="293"/>
      <c r="Y39" s="31" t="b">
        <f aca="true" t="shared" si="12" ref="Y39:Y102">L39=SUM(O39:X39)</f>
        <v>1</v>
      </c>
      <c r="Z39" s="149">
        <f aca="true" t="shared" si="13" ref="Z39:Z102">ROUND(L39/K39,4)</f>
        <v>0.7</v>
      </c>
      <c r="AA39" s="150" t="b">
        <f aca="true" t="shared" si="14" ref="AA39:AA102">Z39=N39</f>
        <v>1</v>
      </c>
      <c r="AB39" s="150" t="b">
        <f aca="true" t="shared" si="15" ref="AB39:AB102">K39=L39+M39</f>
        <v>1</v>
      </c>
    </row>
    <row r="40" spans="1:28" s="202" customFormat="1" ht="37.5" customHeight="1">
      <c r="A40" s="225">
        <v>38</v>
      </c>
      <c r="B40" s="220">
        <v>143</v>
      </c>
      <c r="C40" s="220" t="s">
        <v>65</v>
      </c>
      <c r="D40" s="220" t="s">
        <v>405</v>
      </c>
      <c r="E40" s="220">
        <v>2013033</v>
      </c>
      <c r="F40" s="220" t="s">
        <v>58</v>
      </c>
      <c r="G40" s="221" t="s">
        <v>406</v>
      </c>
      <c r="H40" s="184" t="s">
        <v>50</v>
      </c>
      <c r="I40" s="222">
        <v>0.559</v>
      </c>
      <c r="J40" s="223" t="s">
        <v>407</v>
      </c>
      <c r="K40" s="37">
        <v>2501100</v>
      </c>
      <c r="L40" s="173">
        <f aca="true" t="shared" si="16" ref="L40:L116">ROUNDDOWN(K40*N40,2)</f>
        <v>1250550</v>
      </c>
      <c r="M40" s="37">
        <f t="shared" si="11"/>
        <v>1250550</v>
      </c>
      <c r="N40" s="183">
        <v>0.5</v>
      </c>
      <c r="O40" s="175">
        <v>0</v>
      </c>
      <c r="P40" s="175">
        <v>0</v>
      </c>
      <c r="Q40" s="179">
        <v>0</v>
      </c>
      <c r="R40" s="175">
        <f>400000*N40</f>
        <v>200000</v>
      </c>
      <c r="S40" s="175">
        <f>2101100*N40</f>
        <v>1050550</v>
      </c>
      <c r="T40" s="175"/>
      <c r="U40" s="268"/>
      <c r="V40" s="180"/>
      <c r="W40" s="180"/>
      <c r="X40" s="180"/>
      <c r="Y40" s="31" t="b">
        <f t="shared" si="12"/>
        <v>1</v>
      </c>
      <c r="Z40" s="149">
        <f t="shared" si="13"/>
        <v>0.5</v>
      </c>
      <c r="AA40" s="150" t="b">
        <f t="shared" si="14"/>
        <v>1</v>
      </c>
      <c r="AB40" s="150" t="b">
        <f t="shared" si="15"/>
        <v>1</v>
      </c>
    </row>
    <row r="41" spans="1:28" s="202" customFormat="1" ht="37.5" customHeight="1">
      <c r="A41" s="225">
        <v>39</v>
      </c>
      <c r="B41" s="220">
        <v>300</v>
      </c>
      <c r="C41" s="220" t="s">
        <v>65</v>
      </c>
      <c r="D41" s="220" t="s">
        <v>408</v>
      </c>
      <c r="E41" s="248">
        <v>2002063</v>
      </c>
      <c r="F41" s="220" t="s">
        <v>52</v>
      </c>
      <c r="G41" s="221" t="s">
        <v>409</v>
      </c>
      <c r="H41" s="184" t="s">
        <v>50</v>
      </c>
      <c r="I41" s="222">
        <v>0.16</v>
      </c>
      <c r="J41" s="223" t="s">
        <v>410</v>
      </c>
      <c r="K41" s="37">
        <v>1732000</v>
      </c>
      <c r="L41" s="173">
        <f t="shared" si="16"/>
        <v>1039200</v>
      </c>
      <c r="M41" s="37">
        <f t="shared" si="11"/>
        <v>692800</v>
      </c>
      <c r="N41" s="183">
        <v>0.6</v>
      </c>
      <c r="O41" s="175">
        <v>0</v>
      </c>
      <c r="P41" s="175">
        <v>0</v>
      </c>
      <c r="Q41" s="179">
        <v>0</v>
      </c>
      <c r="R41" s="175">
        <f>1032000*N41</f>
        <v>619200</v>
      </c>
      <c r="S41" s="175">
        <f>700000*N41</f>
        <v>420000</v>
      </c>
      <c r="T41" s="175"/>
      <c r="U41" s="268"/>
      <c r="V41" s="180"/>
      <c r="W41" s="180"/>
      <c r="X41" s="180"/>
      <c r="Y41" s="31" t="b">
        <f t="shared" si="12"/>
        <v>1</v>
      </c>
      <c r="Z41" s="149">
        <f t="shared" si="13"/>
        <v>0.6</v>
      </c>
      <c r="AA41" s="150" t="b">
        <f t="shared" si="14"/>
        <v>1</v>
      </c>
      <c r="AB41" s="150" t="b">
        <f t="shared" si="15"/>
        <v>1</v>
      </c>
    </row>
    <row r="42" spans="1:28" s="202" customFormat="1" ht="37.5" customHeight="1">
      <c r="A42" s="249">
        <v>40</v>
      </c>
      <c r="B42" s="227">
        <v>428</v>
      </c>
      <c r="C42" s="227" t="s">
        <v>106</v>
      </c>
      <c r="D42" s="227" t="s">
        <v>76</v>
      </c>
      <c r="E42" s="250">
        <v>2002143</v>
      </c>
      <c r="F42" s="227" t="s">
        <v>52</v>
      </c>
      <c r="G42" s="234" t="s">
        <v>203</v>
      </c>
      <c r="H42" s="219" t="s">
        <v>49</v>
      </c>
      <c r="I42" s="235">
        <v>1.532</v>
      </c>
      <c r="J42" s="236" t="s">
        <v>411</v>
      </c>
      <c r="K42" s="174">
        <v>3960056.84</v>
      </c>
      <c r="L42" s="205">
        <f>ROUNDDOWN(K42*N42,2)</f>
        <v>1980028.42</v>
      </c>
      <c r="M42" s="174">
        <f>K42-L42</f>
        <v>1980028.42</v>
      </c>
      <c r="N42" s="192">
        <v>0.5</v>
      </c>
      <c r="O42" s="193">
        <v>0</v>
      </c>
      <c r="P42" s="193">
        <v>0</v>
      </c>
      <c r="Q42" s="206">
        <v>0</v>
      </c>
      <c r="R42" s="193">
        <f aca="true" t="shared" si="17" ref="R42:R48">L42</f>
        <v>1980028.42</v>
      </c>
      <c r="S42" s="193"/>
      <c r="T42" s="266"/>
      <c r="U42" s="267"/>
      <c r="V42" s="180"/>
      <c r="W42" s="180"/>
      <c r="X42" s="180"/>
      <c r="Y42" s="31" t="b">
        <f t="shared" si="12"/>
        <v>1</v>
      </c>
      <c r="Z42" s="149">
        <f t="shared" si="13"/>
        <v>0.5</v>
      </c>
      <c r="AA42" s="150" t="b">
        <f t="shared" si="14"/>
        <v>1</v>
      </c>
      <c r="AB42" s="150" t="b">
        <f t="shared" si="15"/>
        <v>1</v>
      </c>
    </row>
    <row r="43" spans="1:28" s="202" customFormat="1" ht="37.5" customHeight="1">
      <c r="A43" s="249">
        <v>41</v>
      </c>
      <c r="B43" s="227">
        <v>193</v>
      </c>
      <c r="C43" s="227" t="s">
        <v>106</v>
      </c>
      <c r="D43" s="227" t="s">
        <v>412</v>
      </c>
      <c r="E43" s="250">
        <v>2011052</v>
      </c>
      <c r="F43" s="227" t="s">
        <v>53</v>
      </c>
      <c r="G43" s="234" t="s">
        <v>413</v>
      </c>
      <c r="H43" s="219" t="s">
        <v>50</v>
      </c>
      <c r="I43" s="235">
        <v>0.928</v>
      </c>
      <c r="J43" s="236" t="s">
        <v>271</v>
      </c>
      <c r="K43" s="174">
        <v>4336000</v>
      </c>
      <c r="L43" s="205">
        <f t="shared" si="16"/>
        <v>2168000</v>
      </c>
      <c r="M43" s="174">
        <f t="shared" si="11"/>
        <v>2168000</v>
      </c>
      <c r="N43" s="192">
        <v>0.5</v>
      </c>
      <c r="O43" s="193">
        <v>0</v>
      </c>
      <c r="P43" s="193">
        <v>0</v>
      </c>
      <c r="Q43" s="206">
        <v>0</v>
      </c>
      <c r="R43" s="193">
        <f t="shared" si="17"/>
        <v>2168000</v>
      </c>
      <c r="S43" s="193"/>
      <c r="T43" s="266"/>
      <c r="U43" s="267"/>
      <c r="V43" s="180"/>
      <c r="W43" s="180"/>
      <c r="X43" s="180"/>
      <c r="Y43" s="31" t="b">
        <f t="shared" si="12"/>
        <v>1</v>
      </c>
      <c r="Z43" s="149">
        <f t="shared" si="13"/>
        <v>0.5</v>
      </c>
      <c r="AA43" s="150" t="b">
        <f t="shared" si="14"/>
        <v>1</v>
      </c>
      <c r="AB43" s="150" t="b">
        <f t="shared" si="15"/>
        <v>1</v>
      </c>
    </row>
    <row r="44" spans="1:28" s="202" customFormat="1" ht="37.5" customHeight="1">
      <c r="A44" s="249">
        <v>42</v>
      </c>
      <c r="B44" s="227">
        <v>358</v>
      </c>
      <c r="C44" s="227" t="s">
        <v>106</v>
      </c>
      <c r="D44" s="227" t="s">
        <v>414</v>
      </c>
      <c r="E44" s="250">
        <v>2002042</v>
      </c>
      <c r="F44" s="227" t="s">
        <v>52</v>
      </c>
      <c r="G44" s="234" t="s">
        <v>415</v>
      </c>
      <c r="H44" s="219" t="s">
        <v>50</v>
      </c>
      <c r="I44" s="235">
        <v>0.513</v>
      </c>
      <c r="J44" s="236" t="s">
        <v>416</v>
      </c>
      <c r="K44" s="174">
        <v>2043000</v>
      </c>
      <c r="L44" s="205">
        <f t="shared" si="16"/>
        <v>1021500</v>
      </c>
      <c r="M44" s="174">
        <f t="shared" si="11"/>
        <v>1021500</v>
      </c>
      <c r="N44" s="192">
        <v>0.5</v>
      </c>
      <c r="O44" s="193">
        <v>0</v>
      </c>
      <c r="P44" s="193">
        <v>0</v>
      </c>
      <c r="Q44" s="206">
        <v>0</v>
      </c>
      <c r="R44" s="193">
        <f t="shared" si="17"/>
        <v>1021500</v>
      </c>
      <c r="S44" s="266"/>
      <c r="T44" s="266"/>
      <c r="U44" s="267"/>
      <c r="V44" s="180"/>
      <c r="W44" s="180"/>
      <c r="X44" s="180"/>
      <c r="Y44" s="31" t="b">
        <f t="shared" si="12"/>
        <v>1</v>
      </c>
      <c r="Z44" s="149">
        <f t="shared" si="13"/>
        <v>0.5</v>
      </c>
      <c r="AA44" s="150" t="b">
        <f t="shared" si="14"/>
        <v>1</v>
      </c>
      <c r="AB44" s="150" t="b">
        <f t="shared" si="15"/>
        <v>1</v>
      </c>
    </row>
    <row r="45" spans="1:28" s="202" customFormat="1" ht="37.5" customHeight="1">
      <c r="A45" s="249">
        <v>43</v>
      </c>
      <c r="B45" s="227">
        <v>427</v>
      </c>
      <c r="C45" s="227" t="s">
        <v>106</v>
      </c>
      <c r="D45" s="227" t="s">
        <v>76</v>
      </c>
      <c r="E45" s="250">
        <v>2002143</v>
      </c>
      <c r="F45" s="227" t="s">
        <v>52</v>
      </c>
      <c r="G45" s="234" t="s">
        <v>224</v>
      </c>
      <c r="H45" s="219" t="s">
        <v>50</v>
      </c>
      <c r="I45" s="235">
        <v>0.879</v>
      </c>
      <c r="J45" s="236" t="s">
        <v>411</v>
      </c>
      <c r="K45" s="174">
        <v>789574.29</v>
      </c>
      <c r="L45" s="205">
        <f t="shared" si="16"/>
        <v>394787.14</v>
      </c>
      <c r="M45" s="174">
        <f t="shared" si="11"/>
        <v>394787.15</v>
      </c>
      <c r="N45" s="192">
        <v>0.5</v>
      </c>
      <c r="O45" s="193">
        <v>0</v>
      </c>
      <c r="P45" s="193">
        <v>0</v>
      </c>
      <c r="Q45" s="206">
        <v>0</v>
      </c>
      <c r="R45" s="193">
        <f t="shared" si="17"/>
        <v>394787.14</v>
      </c>
      <c r="S45" s="266"/>
      <c r="T45" s="266" t="s">
        <v>417</v>
      </c>
      <c r="U45" s="267"/>
      <c r="V45" s="180"/>
      <c r="W45" s="180"/>
      <c r="X45" s="180"/>
      <c r="Y45" s="31" t="b">
        <f t="shared" si="12"/>
        <v>1</v>
      </c>
      <c r="Z45" s="149">
        <f t="shared" si="13"/>
        <v>0.5</v>
      </c>
      <c r="AA45" s="150" t="b">
        <f t="shared" si="14"/>
        <v>1</v>
      </c>
      <c r="AB45" s="150" t="b">
        <f t="shared" si="15"/>
        <v>1</v>
      </c>
    </row>
    <row r="46" spans="1:28" s="202" customFormat="1" ht="37.5" customHeight="1">
      <c r="A46" s="249">
        <v>44</v>
      </c>
      <c r="B46" s="228">
        <v>137</v>
      </c>
      <c r="C46" s="227" t="s">
        <v>106</v>
      </c>
      <c r="D46" s="227" t="s">
        <v>51</v>
      </c>
      <c r="E46" s="227">
        <v>2002013</v>
      </c>
      <c r="F46" s="227" t="s">
        <v>52</v>
      </c>
      <c r="G46" s="234" t="s">
        <v>418</v>
      </c>
      <c r="H46" s="219" t="s">
        <v>49</v>
      </c>
      <c r="I46" s="235">
        <v>0.391</v>
      </c>
      <c r="J46" s="232" t="s">
        <v>419</v>
      </c>
      <c r="K46" s="174">
        <v>1851260.7</v>
      </c>
      <c r="L46" s="205">
        <f t="shared" si="16"/>
        <v>925630.35</v>
      </c>
      <c r="M46" s="174">
        <f t="shared" si="11"/>
        <v>925630.35</v>
      </c>
      <c r="N46" s="192">
        <v>0.5</v>
      </c>
      <c r="O46" s="193">
        <v>0</v>
      </c>
      <c r="P46" s="193">
        <v>0</v>
      </c>
      <c r="Q46" s="206">
        <v>0</v>
      </c>
      <c r="R46" s="193">
        <f t="shared" si="17"/>
        <v>925630.35</v>
      </c>
      <c r="S46" s="266"/>
      <c r="T46" s="266"/>
      <c r="U46" s="267"/>
      <c r="V46" s="180"/>
      <c r="W46" s="180"/>
      <c r="X46" s="180"/>
      <c r="Y46" s="31" t="b">
        <f t="shared" si="12"/>
        <v>1</v>
      </c>
      <c r="Z46" s="149">
        <f t="shared" si="13"/>
        <v>0.5</v>
      </c>
      <c r="AA46" s="150" t="b">
        <f t="shared" si="14"/>
        <v>1</v>
      </c>
      <c r="AB46" s="150" t="b">
        <f t="shared" si="15"/>
        <v>1</v>
      </c>
    </row>
    <row r="47" spans="1:28" s="202" customFormat="1" ht="37.5" customHeight="1">
      <c r="A47" s="249">
        <v>45</v>
      </c>
      <c r="B47" s="228">
        <v>62</v>
      </c>
      <c r="C47" s="227" t="s">
        <v>106</v>
      </c>
      <c r="D47" s="227" t="s">
        <v>420</v>
      </c>
      <c r="E47" s="227">
        <v>2001032</v>
      </c>
      <c r="F47" s="227" t="s">
        <v>157</v>
      </c>
      <c r="G47" s="230" t="s">
        <v>421</v>
      </c>
      <c r="H47" s="219" t="s">
        <v>50</v>
      </c>
      <c r="I47" s="235">
        <v>0.99</v>
      </c>
      <c r="J47" s="228" t="s">
        <v>349</v>
      </c>
      <c r="K47" s="174">
        <v>811559.8</v>
      </c>
      <c r="L47" s="205">
        <f t="shared" si="16"/>
        <v>405779.9</v>
      </c>
      <c r="M47" s="174">
        <f t="shared" si="11"/>
        <v>405779.9</v>
      </c>
      <c r="N47" s="192">
        <v>0.5</v>
      </c>
      <c r="O47" s="193">
        <v>0</v>
      </c>
      <c r="P47" s="193">
        <v>0</v>
      </c>
      <c r="Q47" s="206">
        <v>0</v>
      </c>
      <c r="R47" s="193">
        <f t="shared" si="17"/>
        <v>405779.9</v>
      </c>
      <c r="S47" s="266"/>
      <c r="T47" s="266"/>
      <c r="U47" s="267"/>
      <c r="V47" s="180"/>
      <c r="W47" s="180"/>
      <c r="X47" s="180"/>
      <c r="Y47" s="31" t="b">
        <f t="shared" si="12"/>
        <v>1</v>
      </c>
      <c r="Z47" s="149">
        <f t="shared" si="13"/>
        <v>0.5</v>
      </c>
      <c r="AA47" s="150" t="b">
        <f t="shared" si="14"/>
        <v>1</v>
      </c>
      <c r="AB47" s="150" t="b">
        <f t="shared" si="15"/>
        <v>1</v>
      </c>
    </row>
    <row r="48" spans="1:28" s="202" customFormat="1" ht="37.5" customHeight="1">
      <c r="A48" s="249">
        <v>46</v>
      </c>
      <c r="B48" s="228">
        <v>311</v>
      </c>
      <c r="C48" s="227" t="s">
        <v>106</v>
      </c>
      <c r="D48" s="227" t="s">
        <v>100</v>
      </c>
      <c r="E48" s="250">
        <v>2011093</v>
      </c>
      <c r="F48" s="227" t="s">
        <v>53</v>
      </c>
      <c r="G48" s="234" t="s">
        <v>422</v>
      </c>
      <c r="H48" s="219" t="s">
        <v>50</v>
      </c>
      <c r="I48" s="235">
        <v>1.792</v>
      </c>
      <c r="J48" s="236" t="s">
        <v>423</v>
      </c>
      <c r="K48" s="174">
        <v>1998841.96</v>
      </c>
      <c r="L48" s="205">
        <f t="shared" si="16"/>
        <v>999420.98</v>
      </c>
      <c r="M48" s="174">
        <f t="shared" si="11"/>
        <v>999420.98</v>
      </c>
      <c r="N48" s="192">
        <v>0.5</v>
      </c>
      <c r="O48" s="193">
        <v>0</v>
      </c>
      <c r="P48" s="193">
        <v>0</v>
      </c>
      <c r="Q48" s="206">
        <v>0</v>
      </c>
      <c r="R48" s="193">
        <f t="shared" si="17"/>
        <v>999420.98</v>
      </c>
      <c r="S48" s="266"/>
      <c r="T48" s="266"/>
      <c r="U48" s="267"/>
      <c r="V48" s="180"/>
      <c r="W48" s="180"/>
      <c r="X48" s="180"/>
      <c r="Y48" s="31" t="b">
        <f t="shared" si="12"/>
        <v>1</v>
      </c>
      <c r="Z48" s="149">
        <f t="shared" si="13"/>
        <v>0.5</v>
      </c>
      <c r="AA48" s="150" t="b">
        <f t="shared" si="14"/>
        <v>1</v>
      </c>
      <c r="AB48" s="150" t="b">
        <f t="shared" si="15"/>
        <v>1</v>
      </c>
    </row>
    <row r="49" spans="1:28" s="202" customFormat="1" ht="37.5" customHeight="1">
      <c r="A49" s="225">
        <v>47</v>
      </c>
      <c r="B49" s="220">
        <v>299</v>
      </c>
      <c r="C49" s="220" t="s">
        <v>65</v>
      </c>
      <c r="D49" s="220" t="s">
        <v>408</v>
      </c>
      <c r="E49" s="248">
        <v>2002063</v>
      </c>
      <c r="F49" s="220" t="s">
        <v>52</v>
      </c>
      <c r="G49" s="221" t="s">
        <v>424</v>
      </c>
      <c r="H49" s="184" t="s">
        <v>50</v>
      </c>
      <c r="I49" s="222">
        <v>0.67</v>
      </c>
      <c r="J49" s="223" t="s">
        <v>425</v>
      </c>
      <c r="K49" s="37">
        <v>2832000</v>
      </c>
      <c r="L49" s="173">
        <f>ROUNDDOWN(K49*N49,2)</f>
        <v>1699200</v>
      </c>
      <c r="M49" s="37">
        <f>K49-L49</f>
        <v>1132800</v>
      </c>
      <c r="N49" s="183">
        <v>0.6</v>
      </c>
      <c r="O49" s="175">
        <v>0</v>
      </c>
      <c r="P49" s="175">
        <v>0</v>
      </c>
      <c r="Q49" s="179">
        <v>0</v>
      </c>
      <c r="R49" s="175">
        <f>32000*N49</f>
        <v>19200</v>
      </c>
      <c r="S49" s="175">
        <f>800000*N49</f>
        <v>480000</v>
      </c>
      <c r="T49" s="175">
        <f>2000000*N49</f>
        <v>1200000</v>
      </c>
      <c r="U49" s="268"/>
      <c r="V49" s="180"/>
      <c r="W49" s="180"/>
      <c r="X49" s="180"/>
      <c r="Y49" s="31" t="b">
        <f t="shared" si="12"/>
        <v>1</v>
      </c>
      <c r="Z49" s="149">
        <f t="shared" si="13"/>
        <v>0.6</v>
      </c>
      <c r="AA49" s="150" t="b">
        <f t="shared" si="14"/>
        <v>1</v>
      </c>
      <c r="AB49" s="150" t="b">
        <f t="shared" si="15"/>
        <v>1</v>
      </c>
    </row>
    <row r="50" spans="1:28" s="274" customFormat="1" ht="37.5" customHeight="1">
      <c r="A50" s="225">
        <v>48</v>
      </c>
      <c r="B50" s="220">
        <v>354</v>
      </c>
      <c r="C50" s="220" t="s">
        <v>65</v>
      </c>
      <c r="D50" s="220" t="s">
        <v>426</v>
      </c>
      <c r="E50" s="248">
        <v>2004011</v>
      </c>
      <c r="F50" s="220" t="s">
        <v>54</v>
      </c>
      <c r="G50" s="221" t="s">
        <v>427</v>
      </c>
      <c r="H50" s="184" t="s">
        <v>50</v>
      </c>
      <c r="I50" s="222">
        <v>0.982</v>
      </c>
      <c r="J50" s="223" t="s">
        <v>363</v>
      </c>
      <c r="K50" s="37">
        <v>5595000</v>
      </c>
      <c r="L50" s="173">
        <f>ROUNDDOWN(K50*N50,2)</f>
        <v>3916500</v>
      </c>
      <c r="M50" s="37">
        <f>K50-L50</f>
        <v>1678500</v>
      </c>
      <c r="N50" s="183">
        <v>0.7</v>
      </c>
      <c r="O50" s="175">
        <v>0</v>
      </c>
      <c r="P50" s="175">
        <v>0</v>
      </c>
      <c r="Q50" s="179">
        <v>0</v>
      </c>
      <c r="R50" s="175">
        <f>L50-S50-T50</f>
        <v>1159500</v>
      </c>
      <c r="S50" s="175">
        <v>1440000</v>
      </c>
      <c r="T50" s="175">
        <v>1317000</v>
      </c>
      <c r="U50" s="268"/>
      <c r="V50" s="180"/>
      <c r="W50" s="180"/>
      <c r="X50" s="180"/>
      <c r="Y50" s="31" t="b">
        <f t="shared" si="12"/>
        <v>1</v>
      </c>
      <c r="Z50" s="149">
        <f t="shared" si="13"/>
        <v>0.7</v>
      </c>
      <c r="AA50" s="150" t="b">
        <f t="shared" si="14"/>
        <v>1</v>
      </c>
      <c r="AB50" s="150" t="b">
        <f t="shared" si="15"/>
        <v>1</v>
      </c>
    </row>
    <row r="51" spans="1:28" s="202" customFormat="1" ht="37.5" customHeight="1">
      <c r="A51" s="225">
        <v>49</v>
      </c>
      <c r="B51" s="220">
        <v>289</v>
      </c>
      <c r="C51" s="220" t="s">
        <v>65</v>
      </c>
      <c r="D51" s="220" t="s">
        <v>408</v>
      </c>
      <c r="E51" s="248">
        <v>2002063</v>
      </c>
      <c r="F51" s="220" t="s">
        <v>52</v>
      </c>
      <c r="G51" s="221" t="s">
        <v>428</v>
      </c>
      <c r="H51" s="184" t="s">
        <v>50</v>
      </c>
      <c r="I51" s="222">
        <v>0.423</v>
      </c>
      <c r="J51" s="223" t="s">
        <v>429</v>
      </c>
      <c r="K51" s="37">
        <v>2852000</v>
      </c>
      <c r="L51" s="173">
        <f t="shared" si="16"/>
        <v>1711200</v>
      </c>
      <c r="M51" s="37">
        <f t="shared" si="11"/>
        <v>1140800</v>
      </c>
      <c r="N51" s="183">
        <v>0.6</v>
      </c>
      <c r="O51" s="175">
        <v>0</v>
      </c>
      <c r="P51" s="175">
        <v>0</v>
      </c>
      <c r="Q51" s="179">
        <v>0</v>
      </c>
      <c r="R51" s="175">
        <f>902000*N51</f>
        <v>541200</v>
      </c>
      <c r="S51" s="175">
        <f>975000*N51</f>
        <v>585000</v>
      </c>
      <c r="T51" s="175">
        <f>975000*N51</f>
        <v>585000</v>
      </c>
      <c r="U51" s="268"/>
      <c r="V51" s="180"/>
      <c r="W51" s="180"/>
      <c r="X51" s="180"/>
      <c r="Y51" s="31" t="b">
        <f t="shared" si="12"/>
        <v>1</v>
      </c>
      <c r="Z51" s="149">
        <f t="shared" si="13"/>
        <v>0.6</v>
      </c>
      <c r="AA51" s="150" t="b">
        <f t="shared" si="14"/>
        <v>1</v>
      </c>
      <c r="AB51" s="150" t="b">
        <f t="shared" si="15"/>
        <v>1</v>
      </c>
    </row>
    <row r="52" spans="1:28" s="202" customFormat="1" ht="37.5" customHeight="1">
      <c r="A52" s="249">
        <v>50</v>
      </c>
      <c r="B52" s="227">
        <v>429</v>
      </c>
      <c r="C52" s="227" t="s">
        <v>106</v>
      </c>
      <c r="D52" s="227" t="s">
        <v>76</v>
      </c>
      <c r="E52" s="250">
        <v>2002143</v>
      </c>
      <c r="F52" s="227" t="s">
        <v>52</v>
      </c>
      <c r="G52" s="234" t="s">
        <v>430</v>
      </c>
      <c r="H52" s="219" t="s">
        <v>75</v>
      </c>
      <c r="I52" s="235">
        <v>0.679</v>
      </c>
      <c r="J52" s="236" t="s">
        <v>411</v>
      </c>
      <c r="K52" s="174">
        <v>1003121.24</v>
      </c>
      <c r="L52" s="205">
        <f>ROUNDDOWN(K52*N52,2)</f>
        <v>501560.62</v>
      </c>
      <c r="M52" s="174">
        <f>K52-L52</f>
        <v>501560.62</v>
      </c>
      <c r="N52" s="192">
        <v>0.5</v>
      </c>
      <c r="O52" s="193">
        <v>0</v>
      </c>
      <c r="P52" s="193">
        <v>0</v>
      </c>
      <c r="Q52" s="206">
        <v>0</v>
      </c>
      <c r="R52" s="193">
        <f>L52</f>
        <v>501560.62</v>
      </c>
      <c r="S52" s="266"/>
      <c r="T52" s="266"/>
      <c r="U52" s="267"/>
      <c r="V52" s="180"/>
      <c r="W52" s="180"/>
      <c r="X52" s="180"/>
      <c r="Y52" s="31" t="b">
        <f t="shared" si="12"/>
        <v>1</v>
      </c>
      <c r="Z52" s="149">
        <f t="shared" si="13"/>
        <v>0.5</v>
      </c>
      <c r="AA52" s="150" t="b">
        <f t="shared" si="14"/>
        <v>1</v>
      </c>
      <c r="AB52" s="150" t="b">
        <f t="shared" si="15"/>
        <v>1</v>
      </c>
    </row>
    <row r="53" spans="1:28" s="202" customFormat="1" ht="37.5" customHeight="1">
      <c r="A53" s="225">
        <v>51</v>
      </c>
      <c r="B53" s="220">
        <v>234</v>
      </c>
      <c r="C53" s="220" t="s">
        <v>65</v>
      </c>
      <c r="D53" s="220" t="s">
        <v>150</v>
      </c>
      <c r="E53" s="248">
        <v>2012022</v>
      </c>
      <c r="F53" s="220" t="s">
        <v>57</v>
      </c>
      <c r="G53" s="221" t="s">
        <v>431</v>
      </c>
      <c r="H53" s="225" t="s">
        <v>49</v>
      </c>
      <c r="I53" s="225">
        <v>0.321</v>
      </c>
      <c r="J53" s="225" t="s">
        <v>382</v>
      </c>
      <c r="K53" s="37">
        <v>1057702</v>
      </c>
      <c r="L53" s="173">
        <f t="shared" si="16"/>
        <v>528851</v>
      </c>
      <c r="M53" s="37">
        <f t="shared" si="11"/>
        <v>528851</v>
      </c>
      <c r="N53" s="183">
        <v>0.5</v>
      </c>
      <c r="O53" s="175">
        <v>0</v>
      </c>
      <c r="P53" s="175">
        <v>0</v>
      </c>
      <c r="Q53" s="179">
        <v>0</v>
      </c>
      <c r="R53" s="175">
        <f>55350*N53</f>
        <v>27675</v>
      </c>
      <c r="S53" s="175">
        <f>900000*N53</f>
        <v>450000</v>
      </c>
      <c r="T53" s="175">
        <f>102352*N53</f>
        <v>51176</v>
      </c>
      <c r="U53" s="268"/>
      <c r="V53" s="180"/>
      <c r="W53" s="180"/>
      <c r="X53" s="180"/>
      <c r="Y53" s="31" t="b">
        <f t="shared" si="12"/>
        <v>1</v>
      </c>
      <c r="Z53" s="149">
        <f t="shared" si="13"/>
        <v>0.5</v>
      </c>
      <c r="AA53" s="150" t="b">
        <f t="shared" si="14"/>
        <v>1</v>
      </c>
      <c r="AB53" s="150" t="b">
        <f t="shared" si="15"/>
        <v>1</v>
      </c>
    </row>
    <row r="54" spans="1:28" s="202" customFormat="1" ht="37.5" customHeight="1">
      <c r="A54" s="249">
        <v>52</v>
      </c>
      <c r="B54" s="228">
        <v>75</v>
      </c>
      <c r="C54" s="227" t="s">
        <v>106</v>
      </c>
      <c r="D54" s="227" t="s">
        <v>432</v>
      </c>
      <c r="E54" s="250">
        <v>2007072</v>
      </c>
      <c r="F54" s="228" t="s">
        <v>62</v>
      </c>
      <c r="G54" s="230" t="s">
        <v>433</v>
      </c>
      <c r="H54" s="219" t="s">
        <v>50</v>
      </c>
      <c r="I54" s="235">
        <v>0.212</v>
      </c>
      <c r="J54" s="228" t="s">
        <v>423</v>
      </c>
      <c r="K54" s="174">
        <v>312781.11</v>
      </c>
      <c r="L54" s="205">
        <f t="shared" si="16"/>
        <v>156390.55</v>
      </c>
      <c r="M54" s="174">
        <f t="shared" si="11"/>
        <v>156390.56</v>
      </c>
      <c r="N54" s="192">
        <v>0.5</v>
      </c>
      <c r="O54" s="193">
        <v>0</v>
      </c>
      <c r="P54" s="193">
        <v>0</v>
      </c>
      <c r="Q54" s="206">
        <v>0</v>
      </c>
      <c r="R54" s="193">
        <f>L54</f>
        <v>156390.55</v>
      </c>
      <c r="S54" s="266"/>
      <c r="T54" s="266"/>
      <c r="U54" s="267"/>
      <c r="V54" s="180"/>
      <c r="W54" s="180"/>
      <c r="X54" s="180"/>
      <c r="Y54" s="31" t="b">
        <f t="shared" si="12"/>
        <v>1</v>
      </c>
      <c r="Z54" s="149">
        <f t="shared" si="13"/>
        <v>0.5</v>
      </c>
      <c r="AA54" s="150" t="b">
        <f t="shared" si="14"/>
        <v>1</v>
      </c>
      <c r="AB54" s="150" t="b">
        <f t="shared" si="15"/>
        <v>1</v>
      </c>
    </row>
    <row r="55" spans="1:28" s="202" customFormat="1" ht="37.5" customHeight="1">
      <c r="A55" s="249">
        <v>53</v>
      </c>
      <c r="B55" s="228">
        <v>77</v>
      </c>
      <c r="C55" s="227" t="s">
        <v>106</v>
      </c>
      <c r="D55" s="227" t="s">
        <v>432</v>
      </c>
      <c r="E55" s="250">
        <v>2007072</v>
      </c>
      <c r="F55" s="228" t="s">
        <v>62</v>
      </c>
      <c r="G55" s="230" t="s">
        <v>434</v>
      </c>
      <c r="H55" s="219" t="s">
        <v>50</v>
      </c>
      <c r="I55" s="235">
        <v>0.192</v>
      </c>
      <c r="J55" s="228" t="s">
        <v>423</v>
      </c>
      <c r="K55" s="174">
        <v>323151.14</v>
      </c>
      <c r="L55" s="205">
        <f t="shared" si="16"/>
        <v>161575.57</v>
      </c>
      <c r="M55" s="174">
        <f t="shared" si="11"/>
        <v>161575.57</v>
      </c>
      <c r="N55" s="192">
        <v>0.5</v>
      </c>
      <c r="O55" s="193">
        <v>0</v>
      </c>
      <c r="P55" s="193">
        <v>0</v>
      </c>
      <c r="Q55" s="206">
        <v>0</v>
      </c>
      <c r="R55" s="193">
        <f>L55</f>
        <v>161575.57</v>
      </c>
      <c r="S55" s="266"/>
      <c r="T55" s="266"/>
      <c r="U55" s="267"/>
      <c r="V55" s="180"/>
      <c r="W55" s="180"/>
      <c r="X55" s="180"/>
      <c r="Y55" s="31" t="b">
        <f t="shared" si="12"/>
        <v>1</v>
      </c>
      <c r="Z55" s="149">
        <f t="shared" si="13"/>
        <v>0.5</v>
      </c>
      <c r="AA55" s="150" t="b">
        <f t="shared" si="14"/>
        <v>1</v>
      </c>
      <c r="AB55" s="150" t="b">
        <f t="shared" si="15"/>
        <v>1</v>
      </c>
    </row>
    <row r="56" spans="1:28" s="202" customFormat="1" ht="37.5" customHeight="1">
      <c r="A56" s="249">
        <v>54</v>
      </c>
      <c r="B56" s="228">
        <v>20</v>
      </c>
      <c r="C56" s="227" t="s">
        <v>106</v>
      </c>
      <c r="D56" s="228" t="s">
        <v>84</v>
      </c>
      <c r="E56" s="250">
        <v>2002112</v>
      </c>
      <c r="F56" s="227" t="s">
        <v>52</v>
      </c>
      <c r="G56" s="230" t="s">
        <v>435</v>
      </c>
      <c r="H56" s="218" t="s">
        <v>50</v>
      </c>
      <c r="I56" s="231">
        <v>0.815</v>
      </c>
      <c r="J56" s="228" t="s">
        <v>436</v>
      </c>
      <c r="K56" s="174">
        <v>2813839</v>
      </c>
      <c r="L56" s="205">
        <f t="shared" si="16"/>
        <v>1406919.5</v>
      </c>
      <c r="M56" s="174">
        <f t="shared" si="11"/>
        <v>1406919.5</v>
      </c>
      <c r="N56" s="192">
        <v>0.5</v>
      </c>
      <c r="O56" s="193">
        <v>0</v>
      </c>
      <c r="P56" s="193">
        <v>0</v>
      </c>
      <c r="Q56" s="206">
        <v>0</v>
      </c>
      <c r="R56" s="178">
        <f>L56</f>
        <v>1406919.5</v>
      </c>
      <c r="S56" s="193"/>
      <c r="T56" s="193"/>
      <c r="U56" s="264"/>
      <c r="V56" s="180"/>
      <c r="W56" s="180"/>
      <c r="X56" s="180"/>
      <c r="Y56" s="31" t="b">
        <f t="shared" si="12"/>
        <v>1</v>
      </c>
      <c r="Z56" s="149">
        <f t="shared" si="13"/>
        <v>0.5</v>
      </c>
      <c r="AA56" s="150" t="b">
        <f t="shared" si="14"/>
        <v>1</v>
      </c>
      <c r="AB56" s="150" t="b">
        <f t="shared" si="15"/>
        <v>1</v>
      </c>
    </row>
    <row r="57" spans="1:28" s="202" customFormat="1" ht="37.5" customHeight="1">
      <c r="A57" s="249">
        <v>55</v>
      </c>
      <c r="B57" s="228">
        <v>65</v>
      </c>
      <c r="C57" s="227" t="s">
        <v>106</v>
      </c>
      <c r="D57" s="227" t="s">
        <v>437</v>
      </c>
      <c r="E57" s="250">
        <v>2013072</v>
      </c>
      <c r="F57" s="227" t="s">
        <v>58</v>
      </c>
      <c r="G57" s="230" t="s">
        <v>438</v>
      </c>
      <c r="H57" s="219" t="s">
        <v>49</v>
      </c>
      <c r="I57" s="235">
        <v>0.523</v>
      </c>
      <c r="J57" s="228" t="s">
        <v>439</v>
      </c>
      <c r="K57" s="174">
        <v>1404556.9</v>
      </c>
      <c r="L57" s="205">
        <f t="shared" si="16"/>
        <v>702278.45</v>
      </c>
      <c r="M57" s="174">
        <f t="shared" si="11"/>
        <v>702278.45</v>
      </c>
      <c r="N57" s="192">
        <v>0.5</v>
      </c>
      <c r="O57" s="193">
        <v>0</v>
      </c>
      <c r="P57" s="193">
        <v>0</v>
      </c>
      <c r="Q57" s="206">
        <v>0</v>
      </c>
      <c r="R57" s="178">
        <f>L57</f>
        <v>702278.45</v>
      </c>
      <c r="S57" s="193"/>
      <c r="T57" s="266"/>
      <c r="U57" s="267"/>
      <c r="V57" s="180"/>
      <c r="W57" s="180"/>
      <c r="X57" s="180"/>
      <c r="Y57" s="31" t="b">
        <f t="shared" si="12"/>
        <v>1</v>
      </c>
      <c r="Z57" s="149">
        <f t="shared" si="13"/>
        <v>0.5</v>
      </c>
      <c r="AA57" s="150" t="b">
        <f t="shared" si="14"/>
        <v>1</v>
      </c>
      <c r="AB57" s="150" t="b">
        <f t="shared" si="15"/>
        <v>1</v>
      </c>
    </row>
    <row r="58" spans="1:28" s="202" customFormat="1" ht="37.5" customHeight="1">
      <c r="A58" s="249">
        <v>56</v>
      </c>
      <c r="B58" s="228">
        <v>37</v>
      </c>
      <c r="C58" s="227" t="s">
        <v>106</v>
      </c>
      <c r="D58" s="228" t="s">
        <v>440</v>
      </c>
      <c r="E58" s="250">
        <v>2012032</v>
      </c>
      <c r="F58" s="227" t="s">
        <v>57</v>
      </c>
      <c r="G58" s="230" t="s">
        <v>441</v>
      </c>
      <c r="H58" s="218" t="s">
        <v>49</v>
      </c>
      <c r="I58" s="231">
        <v>0.505</v>
      </c>
      <c r="J58" s="228" t="s">
        <v>442</v>
      </c>
      <c r="K58" s="174">
        <v>1051353</v>
      </c>
      <c r="L58" s="205">
        <f t="shared" si="16"/>
        <v>525676.5</v>
      </c>
      <c r="M58" s="174">
        <f t="shared" si="11"/>
        <v>525676.5</v>
      </c>
      <c r="N58" s="192">
        <v>0.5</v>
      </c>
      <c r="O58" s="193">
        <v>0</v>
      </c>
      <c r="P58" s="193">
        <v>0</v>
      </c>
      <c r="Q58" s="206">
        <v>0</v>
      </c>
      <c r="R58" s="178">
        <f>L58</f>
        <v>525676.5</v>
      </c>
      <c r="S58" s="193"/>
      <c r="T58" s="193"/>
      <c r="U58" s="264"/>
      <c r="V58" s="180"/>
      <c r="W58" s="180"/>
      <c r="X58" s="180"/>
      <c r="Y58" s="31" t="b">
        <f t="shared" si="12"/>
        <v>1</v>
      </c>
      <c r="Z58" s="149">
        <f t="shared" si="13"/>
        <v>0.5</v>
      </c>
      <c r="AA58" s="150" t="b">
        <f t="shared" si="14"/>
        <v>1</v>
      </c>
      <c r="AB58" s="150" t="b">
        <f t="shared" si="15"/>
        <v>1</v>
      </c>
    </row>
    <row r="59" spans="1:28" s="202" customFormat="1" ht="37.5" customHeight="1">
      <c r="A59" s="225">
        <v>57</v>
      </c>
      <c r="B59" s="220">
        <v>281</v>
      </c>
      <c r="C59" s="220" t="s">
        <v>65</v>
      </c>
      <c r="D59" s="220" t="s">
        <v>207</v>
      </c>
      <c r="E59" s="248">
        <v>2007043</v>
      </c>
      <c r="F59" s="220" t="s">
        <v>62</v>
      </c>
      <c r="G59" s="221" t="s">
        <v>443</v>
      </c>
      <c r="H59" s="184" t="s">
        <v>50</v>
      </c>
      <c r="I59" s="222">
        <v>0.723</v>
      </c>
      <c r="J59" s="223" t="s">
        <v>444</v>
      </c>
      <c r="K59" s="37">
        <v>1124433.04</v>
      </c>
      <c r="L59" s="173">
        <f>ROUNDDOWN(K59*N59,2)</f>
        <v>562216.52</v>
      </c>
      <c r="M59" s="37">
        <f>K59-L59</f>
        <v>562216.52</v>
      </c>
      <c r="N59" s="183">
        <v>0.5</v>
      </c>
      <c r="O59" s="175">
        <v>0</v>
      </c>
      <c r="P59" s="175">
        <v>0</v>
      </c>
      <c r="Q59" s="179">
        <v>0</v>
      </c>
      <c r="R59" s="175">
        <f>1950*N59</f>
        <v>975</v>
      </c>
      <c r="S59" s="175">
        <f>1122483.04*N59</f>
        <v>561241.52</v>
      </c>
      <c r="T59" s="175"/>
      <c r="U59" s="268"/>
      <c r="V59" s="180"/>
      <c r="W59" s="180"/>
      <c r="X59" s="180"/>
      <c r="Y59" s="31" t="b">
        <f t="shared" si="12"/>
        <v>1</v>
      </c>
      <c r="Z59" s="149">
        <f t="shared" si="13"/>
        <v>0.5</v>
      </c>
      <c r="AA59" s="150" t="b">
        <f t="shared" si="14"/>
        <v>1</v>
      </c>
      <c r="AB59" s="150" t="b">
        <f t="shared" si="15"/>
        <v>1</v>
      </c>
    </row>
    <row r="60" spans="1:28" s="202" customFormat="1" ht="37.5" customHeight="1">
      <c r="A60" s="249">
        <v>58</v>
      </c>
      <c r="B60" s="227">
        <v>409</v>
      </c>
      <c r="C60" s="227" t="s">
        <v>106</v>
      </c>
      <c r="D60" s="227" t="s">
        <v>140</v>
      </c>
      <c r="E60" s="250">
        <v>2012072</v>
      </c>
      <c r="F60" s="227" t="s">
        <v>57</v>
      </c>
      <c r="G60" s="234" t="s">
        <v>445</v>
      </c>
      <c r="H60" s="219" t="s">
        <v>49</v>
      </c>
      <c r="I60" s="235">
        <v>0.515</v>
      </c>
      <c r="J60" s="236" t="s">
        <v>370</v>
      </c>
      <c r="K60" s="244">
        <v>1401600</v>
      </c>
      <c r="L60" s="173">
        <f>ROUNDDOWN(K60*N60,2)</f>
        <v>700800</v>
      </c>
      <c r="M60" s="37">
        <f>K60-L60</f>
        <v>700800</v>
      </c>
      <c r="N60" s="183">
        <v>0.5</v>
      </c>
      <c r="O60" s="175">
        <v>0</v>
      </c>
      <c r="P60" s="175">
        <v>0</v>
      </c>
      <c r="Q60" s="179">
        <v>0</v>
      </c>
      <c r="R60" s="266">
        <f>L60</f>
        <v>700800</v>
      </c>
      <c r="S60" s="266"/>
      <c r="T60" s="266"/>
      <c r="U60" s="267"/>
      <c r="V60" s="180"/>
      <c r="W60" s="180"/>
      <c r="X60" s="180"/>
      <c r="Y60" s="31" t="b">
        <f t="shared" si="12"/>
        <v>1</v>
      </c>
      <c r="Z60" s="149">
        <f t="shared" si="13"/>
        <v>0.5</v>
      </c>
      <c r="AA60" s="150" t="b">
        <f t="shared" si="14"/>
        <v>1</v>
      </c>
      <c r="AB60" s="150" t="b">
        <f t="shared" si="15"/>
        <v>1</v>
      </c>
    </row>
    <row r="61" spans="1:28" s="202" customFormat="1" ht="37.5" customHeight="1">
      <c r="A61" s="225">
        <v>59</v>
      </c>
      <c r="B61" s="220">
        <v>132</v>
      </c>
      <c r="C61" s="220" t="s">
        <v>65</v>
      </c>
      <c r="D61" s="220" t="s">
        <v>51</v>
      </c>
      <c r="E61" s="220">
        <v>2002013</v>
      </c>
      <c r="F61" s="220" t="s">
        <v>52</v>
      </c>
      <c r="G61" s="221" t="s">
        <v>446</v>
      </c>
      <c r="H61" s="184" t="s">
        <v>49</v>
      </c>
      <c r="I61" s="222">
        <v>1.51</v>
      </c>
      <c r="J61" s="223" t="s">
        <v>447</v>
      </c>
      <c r="K61" s="37">
        <v>9983324.4</v>
      </c>
      <c r="L61" s="173">
        <f>ROUNDDOWN(K61*N61,2)</f>
        <v>4991662.2</v>
      </c>
      <c r="M61" s="37">
        <f>K61-L61</f>
        <v>4991662.2</v>
      </c>
      <c r="N61" s="183">
        <v>0.5</v>
      </c>
      <c r="O61" s="175">
        <v>0</v>
      </c>
      <c r="P61" s="175">
        <v>0</v>
      </c>
      <c r="Q61" s="179">
        <v>0</v>
      </c>
      <c r="R61" s="175">
        <f>255000*N61</f>
        <v>127500</v>
      </c>
      <c r="S61" s="175">
        <f>9728324.4*N61</f>
        <v>4864162.2</v>
      </c>
      <c r="T61" s="175"/>
      <c r="U61" s="268"/>
      <c r="V61" s="180"/>
      <c r="W61" s="180"/>
      <c r="X61" s="180"/>
      <c r="Y61" s="31" t="b">
        <f t="shared" si="12"/>
        <v>1</v>
      </c>
      <c r="Z61" s="149">
        <f t="shared" si="13"/>
        <v>0.5</v>
      </c>
      <c r="AA61" s="150" t="b">
        <f t="shared" si="14"/>
        <v>1</v>
      </c>
      <c r="AB61" s="150" t="b">
        <f t="shared" si="15"/>
        <v>1</v>
      </c>
    </row>
    <row r="62" spans="1:28" s="202" customFormat="1" ht="37.5" customHeight="1">
      <c r="A62" s="225">
        <v>60</v>
      </c>
      <c r="B62" s="220">
        <v>273</v>
      </c>
      <c r="C62" s="220" t="s">
        <v>65</v>
      </c>
      <c r="D62" s="220" t="s">
        <v>448</v>
      </c>
      <c r="E62" s="248">
        <v>2010023</v>
      </c>
      <c r="F62" s="220" t="s">
        <v>63</v>
      </c>
      <c r="G62" s="221" t="s">
        <v>449</v>
      </c>
      <c r="H62" s="184" t="s">
        <v>50</v>
      </c>
      <c r="I62" s="222">
        <v>2.1</v>
      </c>
      <c r="J62" s="223" t="s">
        <v>450</v>
      </c>
      <c r="K62" s="37">
        <v>2991000</v>
      </c>
      <c r="L62" s="173">
        <f t="shared" si="16"/>
        <v>1495500</v>
      </c>
      <c r="M62" s="37">
        <f t="shared" si="11"/>
        <v>1495500</v>
      </c>
      <c r="N62" s="183">
        <v>0.5</v>
      </c>
      <c r="O62" s="175">
        <v>0</v>
      </c>
      <c r="P62" s="175">
        <v>0</v>
      </c>
      <c r="Q62" s="179">
        <v>0</v>
      </c>
      <c r="R62" s="175">
        <f>1000000*N62</f>
        <v>500000</v>
      </c>
      <c r="S62" s="175">
        <f>1991000*N62</f>
        <v>995500</v>
      </c>
      <c r="T62" s="175"/>
      <c r="U62" s="268"/>
      <c r="V62" s="180"/>
      <c r="W62" s="180"/>
      <c r="X62" s="180"/>
      <c r="Y62" s="31" t="b">
        <f t="shared" si="12"/>
        <v>1</v>
      </c>
      <c r="Z62" s="149">
        <f t="shared" si="13"/>
        <v>0.5</v>
      </c>
      <c r="AA62" s="150" t="b">
        <f t="shared" si="14"/>
        <v>1</v>
      </c>
      <c r="AB62" s="150" t="b">
        <f t="shared" si="15"/>
        <v>1</v>
      </c>
    </row>
    <row r="63" spans="1:28" s="202" customFormat="1" ht="42.75" customHeight="1">
      <c r="A63" s="225">
        <v>61</v>
      </c>
      <c r="B63" s="220">
        <v>12</v>
      </c>
      <c r="C63" s="220" t="s">
        <v>65</v>
      </c>
      <c r="D63" s="220" t="s">
        <v>162</v>
      </c>
      <c r="E63" s="248">
        <v>2002032</v>
      </c>
      <c r="F63" s="220" t="s">
        <v>52</v>
      </c>
      <c r="G63" s="221" t="s">
        <v>451</v>
      </c>
      <c r="H63" s="220" t="s">
        <v>50</v>
      </c>
      <c r="I63" s="222">
        <v>1.43</v>
      </c>
      <c r="J63" s="220" t="s">
        <v>452</v>
      </c>
      <c r="K63" s="37">
        <v>2465560</v>
      </c>
      <c r="L63" s="173">
        <f t="shared" si="16"/>
        <v>1232780</v>
      </c>
      <c r="M63" s="37">
        <f t="shared" si="11"/>
        <v>1232780</v>
      </c>
      <c r="N63" s="183">
        <v>0.5</v>
      </c>
      <c r="O63" s="175">
        <v>0</v>
      </c>
      <c r="P63" s="175">
        <v>0</v>
      </c>
      <c r="Q63" s="179">
        <v>0</v>
      </c>
      <c r="R63" s="176">
        <f>73800*N63</f>
        <v>36900</v>
      </c>
      <c r="S63" s="176">
        <f>2391760*N63</f>
        <v>1195880</v>
      </c>
      <c r="T63" s="273"/>
      <c r="U63" s="273"/>
      <c r="V63" s="180"/>
      <c r="W63" s="180"/>
      <c r="X63" s="180"/>
      <c r="Y63" s="31" t="b">
        <f t="shared" si="12"/>
        <v>1</v>
      </c>
      <c r="Z63" s="149">
        <f t="shared" si="13"/>
        <v>0.5</v>
      </c>
      <c r="AA63" s="150" t="b">
        <f t="shared" si="14"/>
        <v>1</v>
      </c>
      <c r="AB63" s="150" t="b">
        <f t="shared" si="15"/>
        <v>1</v>
      </c>
    </row>
    <row r="64" spans="1:28" s="202" customFormat="1" ht="37.5" customHeight="1">
      <c r="A64" s="225">
        <v>62</v>
      </c>
      <c r="B64" s="220">
        <v>423</v>
      </c>
      <c r="C64" s="220" t="s">
        <v>65</v>
      </c>
      <c r="D64" s="220" t="s">
        <v>82</v>
      </c>
      <c r="E64" s="248">
        <v>2007022</v>
      </c>
      <c r="F64" s="220" t="s">
        <v>62</v>
      </c>
      <c r="G64" s="221" t="s">
        <v>453</v>
      </c>
      <c r="H64" s="184" t="s">
        <v>49</v>
      </c>
      <c r="I64" s="222">
        <v>0.483</v>
      </c>
      <c r="J64" s="223" t="s">
        <v>454</v>
      </c>
      <c r="K64" s="37">
        <v>2946404</v>
      </c>
      <c r="L64" s="173">
        <f t="shared" si="16"/>
        <v>1473202</v>
      </c>
      <c r="M64" s="37">
        <f t="shared" si="11"/>
        <v>1473202</v>
      </c>
      <c r="N64" s="183">
        <v>0.5</v>
      </c>
      <c r="O64" s="175">
        <v>0</v>
      </c>
      <c r="P64" s="175">
        <v>0</v>
      </c>
      <c r="Q64" s="179">
        <v>0</v>
      </c>
      <c r="R64" s="175">
        <f>200000*N64</f>
        <v>100000</v>
      </c>
      <c r="S64" s="175">
        <f>2746404*N64</f>
        <v>1373202</v>
      </c>
      <c r="T64" s="175"/>
      <c r="U64" s="268"/>
      <c r="V64" s="180"/>
      <c r="W64" s="180"/>
      <c r="X64" s="180"/>
      <c r="Y64" s="31" t="b">
        <f t="shared" si="12"/>
        <v>1</v>
      </c>
      <c r="Z64" s="149">
        <f t="shared" si="13"/>
        <v>0.5</v>
      </c>
      <c r="AA64" s="150" t="b">
        <f t="shared" si="14"/>
        <v>1</v>
      </c>
      <c r="AB64" s="150" t="b">
        <f t="shared" si="15"/>
        <v>1</v>
      </c>
    </row>
    <row r="65" spans="1:28" s="202" customFormat="1" ht="37.5" customHeight="1">
      <c r="A65" s="249">
        <v>63</v>
      </c>
      <c r="B65" s="227">
        <v>205</v>
      </c>
      <c r="C65" s="227" t="s">
        <v>106</v>
      </c>
      <c r="D65" s="227" t="s">
        <v>83</v>
      </c>
      <c r="E65" s="227">
        <v>2063011</v>
      </c>
      <c r="F65" s="227" t="s">
        <v>57</v>
      </c>
      <c r="G65" s="234" t="s">
        <v>455</v>
      </c>
      <c r="H65" s="219" t="s">
        <v>49</v>
      </c>
      <c r="I65" s="235">
        <v>0.935</v>
      </c>
      <c r="J65" s="236" t="s">
        <v>416</v>
      </c>
      <c r="K65" s="244">
        <v>6793897.28</v>
      </c>
      <c r="L65" s="205">
        <f>ROUNDDOWN(K65*N65,2)</f>
        <v>3396948.64</v>
      </c>
      <c r="M65" s="174">
        <f>K65-L65</f>
        <v>3396948.64</v>
      </c>
      <c r="N65" s="192">
        <v>0.5</v>
      </c>
      <c r="O65" s="193">
        <v>0</v>
      </c>
      <c r="P65" s="193">
        <v>0</v>
      </c>
      <c r="Q65" s="206">
        <v>0</v>
      </c>
      <c r="R65" s="178">
        <f>L65</f>
        <v>3396948.64</v>
      </c>
      <c r="S65" s="193"/>
      <c r="T65" s="266"/>
      <c r="U65" s="267"/>
      <c r="V65" s="180"/>
      <c r="W65" s="180"/>
      <c r="X65" s="180"/>
      <c r="Y65" s="31" t="b">
        <f t="shared" si="12"/>
        <v>1</v>
      </c>
      <c r="Z65" s="149">
        <f t="shared" si="13"/>
        <v>0.5</v>
      </c>
      <c r="AA65" s="150" t="b">
        <f t="shared" si="14"/>
        <v>1</v>
      </c>
      <c r="AB65" s="150" t="b">
        <f t="shared" si="15"/>
        <v>1</v>
      </c>
    </row>
    <row r="66" spans="1:28" s="202" customFormat="1" ht="37.5" customHeight="1">
      <c r="A66" s="225">
        <v>64</v>
      </c>
      <c r="B66" s="220">
        <v>357</v>
      </c>
      <c r="C66" s="220" t="s">
        <v>65</v>
      </c>
      <c r="D66" s="220" t="s">
        <v>164</v>
      </c>
      <c r="E66" s="248">
        <v>2002123</v>
      </c>
      <c r="F66" s="220" t="s">
        <v>52</v>
      </c>
      <c r="G66" s="221" t="s">
        <v>456</v>
      </c>
      <c r="H66" s="184" t="s">
        <v>50</v>
      </c>
      <c r="I66" s="222">
        <v>2.2</v>
      </c>
      <c r="J66" s="223" t="s">
        <v>457</v>
      </c>
      <c r="K66" s="37">
        <v>3573098.02</v>
      </c>
      <c r="L66" s="173">
        <f t="shared" si="16"/>
        <v>1786549.01</v>
      </c>
      <c r="M66" s="37">
        <f t="shared" si="11"/>
        <v>1786549.01</v>
      </c>
      <c r="N66" s="183">
        <v>0.5</v>
      </c>
      <c r="O66" s="175">
        <v>0</v>
      </c>
      <c r="P66" s="175">
        <v>0</v>
      </c>
      <c r="Q66" s="179">
        <v>0</v>
      </c>
      <c r="R66" s="175">
        <f>2048280*N66</f>
        <v>1024140</v>
      </c>
      <c r="S66" s="175">
        <f>1524818.02*N66</f>
        <v>762409.01</v>
      </c>
      <c r="T66" s="175"/>
      <c r="U66" s="268"/>
      <c r="V66" s="180"/>
      <c r="W66" s="180"/>
      <c r="X66" s="180"/>
      <c r="Y66" s="31" t="b">
        <f t="shared" si="12"/>
        <v>1</v>
      </c>
      <c r="Z66" s="149">
        <f t="shared" si="13"/>
        <v>0.5</v>
      </c>
      <c r="AA66" s="150" t="b">
        <f t="shared" si="14"/>
        <v>1</v>
      </c>
      <c r="AB66" s="150" t="b">
        <f t="shared" si="15"/>
        <v>1</v>
      </c>
    </row>
    <row r="67" spans="1:28" s="202" customFormat="1" ht="37.5" customHeight="1">
      <c r="A67" s="225">
        <v>65</v>
      </c>
      <c r="B67" s="220">
        <v>367</v>
      </c>
      <c r="C67" s="220" t="s">
        <v>65</v>
      </c>
      <c r="D67" s="220" t="s">
        <v>86</v>
      </c>
      <c r="E67" s="248">
        <v>2014032</v>
      </c>
      <c r="F67" s="220" t="s">
        <v>61</v>
      </c>
      <c r="G67" s="221" t="s">
        <v>458</v>
      </c>
      <c r="H67" s="184" t="s">
        <v>50</v>
      </c>
      <c r="I67" s="222">
        <v>0.832</v>
      </c>
      <c r="J67" s="223" t="s">
        <v>454</v>
      </c>
      <c r="K67" s="37">
        <v>1780000</v>
      </c>
      <c r="L67" s="173">
        <f>ROUNDDOWN(K67*N67,2)</f>
        <v>890000</v>
      </c>
      <c r="M67" s="37">
        <f>K67-L67</f>
        <v>890000</v>
      </c>
      <c r="N67" s="183">
        <v>0.5</v>
      </c>
      <c r="O67" s="175">
        <v>0</v>
      </c>
      <c r="P67" s="175">
        <v>0</v>
      </c>
      <c r="Q67" s="179">
        <v>0</v>
      </c>
      <c r="R67" s="175">
        <f>50000*N67</f>
        <v>25000</v>
      </c>
      <c r="S67" s="175">
        <f>1730000*N67</f>
        <v>865000</v>
      </c>
      <c r="T67" s="175"/>
      <c r="U67" s="268"/>
      <c r="V67" s="180"/>
      <c r="W67" s="180"/>
      <c r="X67" s="180"/>
      <c r="Y67" s="31" t="b">
        <f t="shared" si="12"/>
        <v>1</v>
      </c>
      <c r="Z67" s="149">
        <f t="shared" si="13"/>
        <v>0.5</v>
      </c>
      <c r="AA67" s="150" t="b">
        <f t="shared" si="14"/>
        <v>1</v>
      </c>
      <c r="AB67" s="150" t="b">
        <f t="shared" si="15"/>
        <v>1</v>
      </c>
    </row>
    <row r="68" spans="1:28" s="202" customFormat="1" ht="37.5" customHeight="1">
      <c r="A68" s="249">
        <v>66</v>
      </c>
      <c r="B68" s="228">
        <v>320</v>
      </c>
      <c r="C68" s="227" t="s">
        <v>106</v>
      </c>
      <c r="D68" s="227" t="s">
        <v>166</v>
      </c>
      <c r="E68" s="250">
        <v>2004043</v>
      </c>
      <c r="F68" s="227" t="s">
        <v>54</v>
      </c>
      <c r="G68" s="234" t="s">
        <v>459</v>
      </c>
      <c r="H68" s="219" t="s">
        <v>50</v>
      </c>
      <c r="I68" s="235">
        <v>0.148</v>
      </c>
      <c r="J68" s="236" t="s">
        <v>259</v>
      </c>
      <c r="K68" s="244">
        <v>236969</v>
      </c>
      <c r="L68" s="205">
        <f>ROUNDDOWN(K68*N68,2)</f>
        <v>118484.5</v>
      </c>
      <c r="M68" s="174">
        <f>K68-L68</f>
        <v>118484.5</v>
      </c>
      <c r="N68" s="192">
        <v>0.5</v>
      </c>
      <c r="O68" s="193">
        <v>0</v>
      </c>
      <c r="P68" s="193">
        <v>0</v>
      </c>
      <c r="Q68" s="206">
        <v>0</v>
      </c>
      <c r="R68" s="178">
        <f>L68</f>
        <v>118484.5</v>
      </c>
      <c r="S68" s="193"/>
      <c r="T68" s="266"/>
      <c r="U68" s="267"/>
      <c r="V68" s="180"/>
      <c r="W68" s="180"/>
      <c r="X68" s="180"/>
      <c r="Y68" s="31" t="b">
        <f t="shared" si="12"/>
        <v>1</v>
      </c>
      <c r="Z68" s="149">
        <f t="shared" si="13"/>
        <v>0.5</v>
      </c>
      <c r="AA68" s="150" t="b">
        <f t="shared" si="14"/>
        <v>1</v>
      </c>
      <c r="AB68" s="150" t="b">
        <f t="shared" si="15"/>
        <v>1</v>
      </c>
    </row>
    <row r="69" spans="1:28" s="202" customFormat="1" ht="37.5" customHeight="1">
      <c r="A69" s="249">
        <v>67</v>
      </c>
      <c r="B69" s="227">
        <v>17</v>
      </c>
      <c r="C69" s="227" t="s">
        <v>106</v>
      </c>
      <c r="D69" s="227" t="s">
        <v>460</v>
      </c>
      <c r="E69" s="250">
        <v>2011102</v>
      </c>
      <c r="F69" s="227" t="s">
        <v>53</v>
      </c>
      <c r="G69" s="230" t="s">
        <v>461</v>
      </c>
      <c r="H69" s="219" t="s">
        <v>50</v>
      </c>
      <c r="I69" s="235">
        <v>2.66</v>
      </c>
      <c r="J69" s="228" t="s">
        <v>307</v>
      </c>
      <c r="K69" s="174">
        <v>2281474.08</v>
      </c>
      <c r="L69" s="205">
        <f>ROUNDDOWN(K69*N69,2)</f>
        <v>1140737.04</v>
      </c>
      <c r="M69" s="174">
        <f>K69-L69</f>
        <v>1140737.04</v>
      </c>
      <c r="N69" s="192">
        <v>0.5</v>
      </c>
      <c r="O69" s="193">
        <v>0</v>
      </c>
      <c r="P69" s="193">
        <v>0</v>
      </c>
      <c r="Q69" s="206">
        <v>0</v>
      </c>
      <c r="R69" s="193">
        <f>L69</f>
        <v>1140737.04</v>
      </c>
      <c r="S69" s="193"/>
      <c r="T69" s="193"/>
      <c r="U69" s="264"/>
      <c r="V69" s="180"/>
      <c r="W69" s="180"/>
      <c r="X69" s="180"/>
      <c r="Y69" s="31" t="b">
        <f t="shared" si="12"/>
        <v>1</v>
      </c>
      <c r="Z69" s="149">
        <f t="shared" si="13"/>
        <v>0.5</v>
      </c>
      <c r="AA69" s="150" t="b">
        <f t="shared" si="14"/>
        <v>1</v>
      </c>
      <c r="AB69" s="150" t="b">
        <f t="shared" si="15"/>
        <v>1</v>
      </c>
    </row>
    <row r="70" spans="1:28" s="202" customFormat="1" ht="37.5" customHeight="1">
      <c r="A70" s="249">
        <v>68</v>
      </c>
      <c r="B70" s="228">
        <v>36</v>
      </c>
      <c r="C70" s="227" t="s">
        <v>106</v>
      </c>
      <c r="D70" s="228" t="s">
        <v>208</v>
      </c>
      <c r="E70" s="227">
        <v>2003032</v>
      </c>
      <c r="F70" s="227" t="s">
        <v>55</v>
      </c>
      <c r="G70" s="230" t="s">
        <v>462</v>
      </c>
      <c r="H70" s="218" t="s">
        <v>50</v>
      </c>
      <c r="I70" s="231">
        <v>3.26</v>
      </c>
      <c r="J70" s="228" t="s">
        <v>463</v>
      </c>
      <c r="K70" s="174">
        <v>5120436.22</v>
      </c>
      <c r="L70" s="205">
        <f t="shared" si="16"/>
        <v>2560218.11</v>
      </c>
      <c r="M70" s="174">
        <f t="shared" si="11"/>
        <v>2560218.11</v>
      </c>
      <c r="N70" s="192">
        <v>0.5</v>
      </c>
      <c r="O70" s="193">
        <v>0</v>
      </c>
      <c r="P70" s="193">
        <v>0</v>
      </c>
      <c r="Q70" s="206">
        <v>0</v>
      </c>
      <c r="R70" s="178">
        <f>L70</f>
        <v>2560218.11</v>
      </c>
      <c r="S70" s="193"/>
      <c r="T70" s="193"/>
      <c r="U70" s="264"/>
      <c r="V70" s="180"/>
      <c r="W70" s="180"/>
      <c r="X70" s="180"/>
      <c r="Y70" s="31" t="b">
        <f t="shared" si="12"/>
        <v>1</v>
      </c>
      <c r="Z70" s="149">
        <f t="shared" si="13"/>
        <v>0.5</v>
      </c>
      <c r="AA70" s="150" t="b">
        <f t="shared" si="14"/>
        <v>1</v>
      </c>
      <c r="AB70" s="150" t="b">
        <f t="shared" si="15"/>
        <v>1</v>
      </c>
    </row>
    <row r="71" spans="1:28" s="202" customFormat="1" ht="37.5" customHeight="1">
      <c r="A71" s="249">
        <v>69</v>
      </c>
      <c r="B71" s="228">
        <v>321</v>
      </c>
      <c r="C71" s="227" t="s">
        <v>106</v>
      </c>
      <c r="D71" s="227" t="s">
        <v>166</v>
      </c>
      <c r="E71" s="250">
        <v>2004043</v>
      </c>
      <c r="F71" s="227" t="s">
        <v>54</v>
      </c>
      <c r="G71" s="234" t="s">
        <v>464</v>
      </c>
      <c r="H71" s="219" t="s">
        <v>50</v>
      </c>
      <c r="I71" s="235">
        <v>0.423</v>
      </c>
      <c r="J71" s="236" t="s">
        <v>259</v>
      </c>
      <c r="K71" s="244">
        <v>381100</v>
      </c>
      <c r="L71" s="205">
        <f t="shared" si="16"/>
        <v>190550</v>
      </c>
      <c r="M71" s="174">
        <f t="shared" si="11"/>
        <v>190550</v>
      </c>
      <c r="N71" s="192">
        <v>0.5</v>
      </c>
      <c r="O71" s="193">
        <v>0</v>
      </c>
      <c r="P71" s="193">
        <v>0</v>
      </c>
      <c r="Q71" s="206">
        <v>0</v>
      </c>
      <c r="R71" s="178">
        <f>L71</f>
        <v>190550</v>
      </c>
      <c r="S71" s="193"/>
      <c r="T71" s="266"/>
      <c r="U71" s="267"/>
      <c r="V71" s="180"/>
      <c r="W71" s="180"/>
      <c r="X71" s="180"/>
      <c r="Y71" s="31" t="b">
        <f t="shared" si="12"/>
        <v>1</v>
      </c>
      <c r="Z71" s="149">
        <f t="shared" si="13"/>
        <v>0.5</v>
      </c>
      <c r="AA71" s="150" t="b">
        <f t="shared" si="14"/>
        <v>1</v>
      </c>
      <c r="AB71" s="150" t="b">
        <f t="shared" si="15"/>
        <v>1</v>
      </c>
    </row>
    <row r="72" spans="1:28" s="202" customFormat="1" ht="37.5" customHeight="1">
      <c r="A72" s="225">
        <v>70</v>
      </c>
      <c r="B72" s="220">
        <v>140</v>
      </c>
      <c r="C72" s="220" t="s">
        <v>65</v>
      </c>
      <c r="D72" s="220" t="s">
        <v>51</v>
      </c>
      <c r="E72" s="220">
        <v>2002013</v>
      </c>
      <c r="F72" s="220" t="s">
        <v>52</v>
      </c>
      <c r="G72" s="221" t="s">
        <v>465</v>
      </c>
      <c r="H72" s="184" t="s">
        <v>49</v>
      </c>
      <c r="I72" s="222">
        <v>0.61</v>
      </c>
      <c r="J72" s="223" t="s">
        <v>466</v>
      </c>
      <c r="K72" s="37">
        <v>2832948.3</v>
      </c>
      <c r="L72" s="173">
        <f t="shared" si="16"/>
        <v>1416474.15</v>
      </c>
      <c r="M72" s="37">
        <f t="shared" si="11"/>
        <v>1416474.15</v>
      </c>
      <c r="N72" s="183">
        <v>0.5</v>
      </c>
      <c r="O72" s="175">
        <v>0</v>
      </c>
      <c r="P72" s="175">
        <v>0</v>
      </c>
      <c r="Q72" s="179">
        <v>0</v>
      </c>
      <c r="R72" s="175">
        <f>800000*N72</f>
        <v>400000</v>
      </c>
      <c r="S72" s="175">
        <f>2032948.3*N72</f>
        <v>1016474.15</v>
      </c>
      <c r="T72" s="175"/>
      <c r="U72" s="268"/>
      <c r="V72" s="180"/>
      <c r="W72" s="180"/>
      <c r="X72" s="180"/>
      <c r="Y72" s="31" t="b">
        <f t="shared" si="12"/>
        <v>1</v>
      </c>
      <c r="Z72" s="149">
        <f t="shared" si="13"/>
        <v>0.5</v>
      </c>
      <c r="AA72" s="150" t="b">
        <f t="shared" si="14"/>
        <v>1</v>
      </c>
      <c r="AB72" s="150" t="b">
        <f t="shared" si="15"/>
        <v>1</v>
      </c>
    </row>
    <row r="73" spans="1:28" s="202" customFormat="1" ht="37.5" customHeight="1">
      <c r="A73" s="249">
        <v>71</v>
      </c>
      <c r="B73" s="227">
        <v>382</v>
      </c>
      <c r="C73" s="227" t="s">
        <v>106</v>
      </c>
      <c r="D73" s="227" t="s">
        <v>206</v>
      </c>
      <c r="E73" s="250">
        <v>2005011</v>
      </c>
      <c r="F73" s="227" t="s">
        <v>92</v>
      </c>
      <c r="G73" s="234" t="s">
        <v>467</v>
      </c>
      <c r="H73" s="219" t="s">
        <v>50</v>
      </c>
      <c r="I73" s="235">
        <v>0.195</v>
      </c>
      <c r="J73" s="236" t="s">
        <v>416</v>
      </c>
      <c r="K73" s="174">
        <v>2007380</v>
      </c>
      <c r="L73" s="205">
        <f>ROUNDDOWN(K73*N73,2)</f>
        <v>1204428</v>
      </c>
      <c r="M73" s="174">
        <f>K73-L73</f>
        <v>802952</v>
      </c>
      <c r="N73" s="192">
        <v>0.6</v>
      </c>
      <c r="O73" s="193">
        <v>0</v>
      </c>
      <c r="P73" s="193">
        <v>0</v>
      </c>
      <c r="Q73" s="206">
        <v>0</v>
      </c>
      <c r="R73" s="178">
        <f>L73</f>
        <v>1204428</v>
      </c>
      <c r="S73" s="266"/>
      <c r="T73" s="266"/>
      <c r="U73" s="267"/>
      <c r="V73" s="180"/>
      <c r="W73" s="180"/>
      <c r="X73" s="180"/>
      <c r="Y73" s="31" t="b">
        <f t="shared" si="12"/>
        <v>1</v>
      </c>
      <c r="Z73" s="149">
        <f t="shared" si="13"/>
        <v>0.6</v>
      </c>
      <c r="AA73" s="150" t="b">
        <f t="shared" si="14"/>
        <v>1</v>
      </c>
      <c r="AB73" s="150" t="b">
        <f t="shared" si="15"/>
        <v>1</v>
      </c>
    </row>
    <row r="74" spans="1:28" s="202" customFormat="1" ht="37.5" customHeight="1">
      <c r="A74" s="249">
        <v>72</v>
      </c>
      <c r="B74" s="228">
        <v>378</v>
      </c>
      <c r="C74" s="227" t="s">
        <v>106</v>
      </c>
      <c r="D74" s="227" t="s">
        <v>197</v>
      </c>
      <c r="E74" s="250">
        <v>2007052</v>
      </c>
      <c r="F74" s="228" t="s">
        <v>62</v>
      </c>
      <c r="G74" s="234" t="s">
        <v>468</v>
      </c>
      <c r="H74" s="219" t="s">
        <v>50</v>
      </c>
      <c r="I74" s="235">
        <v>0.9047</v>
      </c>
      <c r="J74" s="236" t="s">
        <v>320</v>
      </c>
      <c r="K74" s="244">
        <v>1267344.8</v>
      </c>
      <c r="L74" s="205">
        <f t="shared" si="16"/>
        <v>633672.4</v>
      </c>
      <c r="M74" s="174">
        <f t="shared" si="11"/>
        <v>633672.4</v>
      </c>
      <c r="N74" s="192">
        <v>0.5</v>
      </c>
      <c r="O74" s="193">
        <v>0</v>
      </c>
      <c r="P74" s="193">
        <v>0</v>
      </c>
      <c r="Q74" s="206">
        <v>0</v>
      </c>
      <c r="R74" s="193">
        <f>L74</f>
        <v>633672.4</v>
      </c>
      <c r="S74" s="266"/>
      <c r="T74" s="266"/>
      <c r="U74" s="267"/>
      <c r="V74" s="180"/>
      <c r="W74" s="180"/>
      <c r="X74" s="180"/>
      <c r="Y74" s="31" t="b">
        <f t="shared" si="12"/>
        <v>1</v>
      </c>
      <c r="Z74" s="149">
        <f t="shared" si="13"/>
        <v>0.5</v>
      </c>
      <c r="AA74" s="150" t="b">
        <f t="shared" si="14"/>
        <v>1</v>
      </c>
      <c r="AB74" s="150" t="b">
        <f t="shared" si="15"/>
        <v>1</v>
      </c>
    </row>
    <row r="75" spans="1:28" s="202" customFormat="1" ht="37.5" customHeight="1">
      <c r="A75" s="249">
        <v>73</v>
      </c>
      <c r="B75" s="228">
        <v>29</v>
      </c>
      <c r="C75" s="227" t="s">
        <v>106</v>
      </c>
      <c r="D75" s="228" t="s">
        <v>210</v>
      </c>
      <c r="E75" s="250">
        <v>2008063</v>
      </c>
      <c r="F75" s="228" t="s">
        <v>59</v>
      </c>
      <c r="G75" s="230" t="s">
        <v>469</v>
      </c>
      <c r="H75" s="218" t="s">
        <v>50</v>
      </c>
      <c r="I75" s="231">
        <v>0.267</v>
      </c>
      <c r="J75" s="228" t="s">
        <v>470</v>
      </c>
      <c r="K75" s="174">
        <v>698430</v>
      </c>
      <c r="L75" s="205">
        <f>ROUNDDOWN(K75*N75,2)</f>
        <v>419058</v>
      </c>
      <c r="M75" s="174">
        <f>K75-L75</f>
        <v>279372</v>
      </c>
      <c r="N75" s="192">
        <v>0.6</v>
      </c>
      <c r="O75" s="193">
        <v>0</v>
      </c>
      <c r="P75" s="193">
        <v>0</v>
      </c>
      <c r="Q75" s="206">
        <v>0</v>
      </c>
      <c r="R75" s="178">
        <f>L75</f>
        <v>419058</v>
      </c>
      <c r="S75" s="193"/>
      <c r="T75" s="193"/>
      <c r="U75" s="264"/>
      <c r="V75" s="180"/>
      <c r="W75" s="180"/>
      <c r="X75" s="180"/>
      <c r="Y75" s="31" t="b">
        <f t="shared" si="12"/>
        <v>1</v>
      </c>
      <c r="Z75" s="149">
        <f t="shared" si="13"/>
        <v>0.6</v>
      </c>
      <c r="AA75" s="150" t="b">
        <f t="shared" si="14"/>
        <v>1</v>
      </c>
      <c r="AB75" s="150" t="b">
        <f t="shared" si="15"/>
        <v>1</v>
      </c>
    </row>
    <row r="76" spans="1:28" s="202" customFormat="1" ht="37.5" customHeight="1">
      <c r="A76" s="249">
        <v>74</v>
      </c>
      <c r="B76" s="228">
        <v>402</v>
      </c>
      <c r="C76" s="227" t="s">
        <v>106</v>
      </c>
      <c r="D76" s="227" t="s">
        <v>139</v>
      </c>
      <c r="E76" s="227">
        <v>2002023</v>
      </c>
      <c r="F76" s="227" t="s">
        <v>52</v>
      </c>
      <c r="G76" s="234" t="s">
        <v>199</v>
      </c>
      <c r="H76" s="219" t="s">
        <v>49</v>
      </c>
      <c r="I76" s="235">
        <v>0.461</v>
      </c>
      <c r="J76" s="236" t="s">
        <v>259</v>
      </c>
      <c r="K76" s="174">
        <v>912000</v>
      </c>
      <c r="L76" s="205">
        <f>ROUNDDOWN(K76*N76,2)</f>
        <v>456000</v>
      </c>
      <c r="M76" s="174">
        <f>K76-L76</f>
        <v>456000</v>
      </c>
      <c r="N76" s="192">
        <v>0.5</v>
      </c>
      <c r="O76" s="193">
        <v>0</v>
      </c>
      <c r="P76" s="193">
        <v>0</v>
      </c>
      <c r="Q76" s="206">
        <v>0</v>
      </c>
      <c r="R76" s="193">
        <f>L76</f>
        <v>456000</v>
      </c>
      <c r="S76" s="266"/>
      <c r="T76" s="266"/>
      <c r="U76" s="267"/>
      <c r="V76" s="180"/>
      <c r="W76" s="180"/>
      <c r="X76" s="180"/>
      <c r="Y76" s="31" t="b">
        <f t="shared" si="12"/>
        <v>1</v>
      </c>
      <c r="Z76" s="149">
        <f t="shared" si="13"/>
        <v>0.5</v>
      </c>
      <c r="AA76" s="150" t="b">
        <f t="shared" si="14"/>
        <v>1</v>
      </c>
      <c r="AB76" s="150" t="b">
        <f t="shared" si="15"/>
        <v>1</v>
      </c>
    </row>
    <row r="77" spans="1:28" s="202" customFormat="1" ht="37.5" customHeight="1">
      <c r="A77" s="225">
        <v>75</v>
      </c>
      <c r="B77" s="220">
        <v>86</v>
      </c>
      <c r="C77" s="220" t="s">
        <v>65</v>
      </c>
      <c r="D77" s="220" t="s">
        <v>142</v>
      </c>
      <c r="E77" s="248">
        <v>2013011</v>
      </c>
      <c r="F77" s="220" t="s">
        <v>58</v>
      </c>
      <c r="G77" s="221" t="s">
        <v>225</v>
      </c>
      <c r="H77" s="184" t="s">
        <v>47</v>
      </c>
      <c r="I77" s="226">
        <v>1.891</v>
      </c>
      <c r="J77" s="220" t="s">
        <v>471</v>
      </c>
      <c r="K77" s="37">
        <v>4046241</v>
      </c>
      <c r="L77" s="173">
        <f t="shared" si="16"/>
        <v>2023120.5</v>
      </c>
      <c r="M77" s="37">
        <f t="shared" si="11"/>
        <v>2023120.5</v>
      </c>
      <c r="N77" s="183">
        <v>0.5</v>
      </c>
      <c r="O77" s="175">
        <v>0</v>
      </c>
      <c r="P77" s="175">
        <v>0</v>
      </c>
      <c r="Q77" s="179">
        <v>0</v>
      </c>
      <c r="R77" s="175">
        <f>1800000*N77</f>
        <v>900000</v>
      </c>
      <c r="S77" s="175">
        <f>2246241*N77</f>
        <v>1123120.5</v>
      </c>
      <c r="T77" s="175"/>
      <c r="U77" s="268"/>
      <c r="V77" s="180"/>
      <c r="W77" s="180"/>
      <c r="X77" s="180"/>
      <c r="Y77" s="31" t="b">
        <f t="shared" si="12"/>
        <v>1</v>
      </c>
      <c r="Z77" s="149">
        <f t="shared" si="13"/>
        <v>0.5</v>
      </c>
      <c r="AA77" s="150" t="b">
        <f t="shared" si="14"/>
        <v>1</v>
      </c>
      <c r="AB77" s="150" t="b">
        <f t="shared" si="15"/>
        <v>1</v>
      </c>
    </row>
    <row r="78" spans="1:28" s="202" customFormat="1" ht="37.5" customHeight="1">
      <c r="A78" s="249">
        <v>76</v>
      </c>
      <c r="B78" s="228">
        <v>78</v>
      </c>
      <c r="C78" s="227" t="s">
        <v>106</v>
      </c>
      <c r="D78" s="227" t="s">
        <v>169</v>
      </c>
      <c r="E78" s="250">
        <v>2004022</v>
      </c>
      <c r="F78" s="227" t="s">
        <v>54</v>
      </c>
      <c r="G78" s="230" t="s">
        <v>472</v>
      </c>
      <c r="H78" s="219" t="s">
        <v>50</v>
      </c>
      <c r="I78" s="235">
        <v>1.356</v>
      </c>
      <c r="J78" s="228" t="s">
        <v>317</v>
      </c>
      <c r="K78" s="174">
        <v>1632200</v>
      </c>
      <c r="L78" s="205">
        <f t="shared" si="16"/>
        <v>816100</v>
      </c>
      <c r="M78" s="174">
        <f t="shared" si="11"/>
        <v>816100</v>
      </c>
      <c r="N78" s="192">
        <v>0.5</v>
      </c>
      <c r="O78" s="193">
        <v>0</v>
      </c>
      <c r="P78" s="193">
        <v>0</v>
      </c>
      <c r="Q78" s="206">
        <v>0</v>
      </c>
      <c r="R78" s="193">
        <f>L78</f>
        <v>816100</v>
      </c>
      <c r="S78" s="266"/>
      <c r="T78" s="266"/>
      <c r="U78" s="267"/>
      <c r="V78" s="180"/>
      <c r="W78" s="180"/>
      <c r="X78" s="180"/>
      <c r="Y78" s="31" t="b">
        <f t="shared" si="12"/>
        <v>1</v>
      </c>
      <c r="Z78" s="149">
        <f t="shared" si="13"/>
        <v>0.5</v>
      </c>
      <c r="AA78" s="150" t="b">
        <f t="shared" si="14"/>
        <v>1</v>
      </c>
      <c r="AB78" s="150" t="b">
        <f t="shared" si="15"/>
        <v>1</v>
      </c>
    </row>
    <row r="79" spans="1:28" s="202" customFormat="1" ht="37.5" customHeight="1">
      <c r="A79" s="225">
        <v>77</v>
      </c>
      <c r="B79" s="220">
        <v>21</v>
      </c>
      <c r="C79" s="220" t="s">
        <v>65</v>
      </c>
      <c r="D79" s="220" t="s">
        <v>84</v>
      </c>
      <c r="E79" s="248">
        <v>2002112</v>
      </c>
      <c r="F79" s="220" t="s">
        <v>52</v>
      </c>
      <c r="G79" s="221" t="s">
        <v>473</v>
      </c>
      <c r="H79" s="184" t="s">
        <v>50</v>
      </c>
      <c r="I79" s="222">
        <v>0.788</v>
      </c>
      <c r="J79" s="220" t="s">
        <v>474</v>
      </c>
      <c r="K79" s="37">
        <v>1791947</v>
      </c>
      <c r="L79" s="173">
        <f t="shared" si="16"/>
        <v>895973.5</v>
      </c>
      <c r="M79" s="37">
        <f t="shared" si="11"/>
        <v>895973.5</v>
      </c>
      <c r="N79" s="183">
        <v>0.5</v>
      </c>
      <c r="O79" s="175">
        <v>0</v>
      </c>
      <c r="P79" s="175">
        <v>0</v>
      </c>
      <c r="Q79" s="179">
        <v>0</v>
      </c>
      <c r="R79" s="175">
        <f>46764*N79</f>
        <v>23382</v>
      </c>
      <c r="S79" s="175">
        <f>1745183*N79</f>
        <v>872591.5</v>
      </c>
      <c r="T79" s="175"/>
      <c r="U79" s="268"/>
      <c r="V79" s="180"/>
      <c r="W79" s="180"/>
      <c r="X79" s="180"/>
      <c r="Y79" s="31" t="b">
        <f t="shared" si="12"/>
        <v>1</v>
      </c>
      <c r="Z79" s="149">
        <f t="shared" si="13"/>
        <v>0.5</v>
      </c>
      <c r="AA79" s="150" t="b">
        <f t="shared" si="14"/>
        <v>1</v>
      </c>
      <c r="AB79" s="150" t="b">
        <f t="shared" si="15"/>
        <v>1</v>
      </c>
    </row>
    <row r="80" spans="1:28" s="202" customFormat="1" ht="37.5" customHeight="1">
      <c r="A80" s="249">
        <v>78</v>
      </c>
      <c r="B80" s="227">
        <v>420</v>
      </c>
      <c r="C80" s="227" t="s">
        <v>106</v>
      </c>
      <c r="D80" s="227" t="s">
        <v>475</v>
      </c>
      <c r="E80" s="250">
        <v>2006053</v>
      </c>
      <c r="F80" s="227" t="s">
        <v>147</v>
      </c>
      <c r="G80" s="234" t="s">
        <v>476</v>
      </c>
      <c r="H80" s="219" t="s">
        <v>50</v>
      </c>
      <c r="I80" s="235">
        <v>0.147</v>
      </c>
      <c r="J80" s="236" t="s">
        <v>423</v>
      </c>
      <c r="K80" s="244">
        <v>1854000</v>
      </c>
      <c r="L80" s="205">
        <f t="shared" si="16"/>
        <v>927000</v>
      </c>
      <c r="M80" s="174">
        <f t="shared" si="11"/>
        <v>927000</v>
      </c>
      <c r="N80" s="192">
        <v>0.5</v>
      </c>
      <c r="O80" s="193">
        <v>0</v>
      </c>
      <c r="P80" s="193">
        <v>0</v>
      </c>
      <c r="Q80" s="206">
        <v>0</v>
      </c>
      <c r="R80" s="193">
        <f>L80</f>
        <v>927000</v>
      </c>
      <c r="S80" s="266"/>
      <c r="T80" s="266"/>
      <c r="U80" s="267"/>
      <c r="V80" s="180"/>
      <c r="W80" s="180"/>
      <c r="X80" s="180"/>
      <c r="Y80" s="31" t="b">
        <f t="shared" si="12"/>
        <v>1</v>
      </c>
      <c r="Z80" s="149">
        <f t="shared" si="13"/>
        <v>0.5</v>
      </c>
      <c r="AA80" s="150" t="b">
        <f t="shared" si="14"/>
        <v>1</v>
      </c>
      <c r="AB80" s="150" t="b">
        <f t="shared" si="15"/>
        <v>1</v>
      </c>
    </row>
    <row r="81" spans="1:28" s="202" customFormat="1" ht="37.5" customHeight="1">
      <c r="A81" s="225">
        <v>79</v>
      </c>
      <c r="B81" s="220">
        <v>19</v>
      </c>
      <c r="C81" s="220" t="s">
        <v>65</v>
      </c>
      <c r="D81" s="220" t="s">
        <v>84</v>
      </c>
      <c r="E81" s="248">
        <v>2002112</v>
      </c>
      <c r="F81" s="220" t="s">
        <v>52</v>
      </c>
      <c r="G81" s="221" t="s">
        <v>477</v>
      </c>
      <c r="H81" s="184" t="s">
        <v>50</v>
      </c>
      <c r="I81" s="222">
        <v>0.76</v>
      </c>
      <c r="J81" s="220" t="s">
        <v>474</v>
      </c>
      <c r="K81" s="37">
        <v>1765655</v>
      </c>
      <c r="L81" s="173">
        <f t="shared" si="16"/>
        <v>882827.5</v>
      </c>
      <c r="M81" s="37">
        <f t="shared" si="11"/>
        <v>882827.5</v>
      </c>
      <c r="N81" s="183">
        <v>0.5</v>
      </c>
      <c r="O81" s="175">
        <v>0</v>
      </c>
      <c r="P81" s="175">
        <v>0</v>
      </c>
      <c r="Q81" s="179">
        <v>0</v>
      </c>
      <c r="R81" s="175">
        <f>46764*N81</f>
        <v>23382</v>
      </c>
      <c r="S81" s="175">
        <f>1718891*N81</f>
        <v>859445.5</v>
      </c>
      <c r="T81" s="175"/>
      <c r="U81" s="268"/>
      <c r="V81" s="180"/>
      <c r="W81" s="180"/>
      <c r="X81" s="180"/>
      <c r="Y81" s="31" t="b">
        <f t="shared" si="12"/>
        <v>1</v>
      </c>
      <c r="Z81" s="149">
        <f t="shared" si="13"/>
        <v>0.5</v>
      </c>
      <c r="AA81" s="150" t="b">
        <f t="shared" si="14"/>
        <v>1</v>
      </c>
      <c r="AB81" s="150" t="b">
        <f t="shared" si="15"/>
        <v>1</v>
      </c>
    </row>
    <row r="82" spans="1:28" s="202" customFormat="1" ht="37.5" customHeight="1">
      <c r="A82" s="225">
        <v>80</v>
      </c>
      <c r="B82" s="220">
        <v>285</v>
      </c>
      <c r="C82" s="220" t="s">
        <v>65</v>
      </c>
      <c r="D82" s="220" t="s">
        <v>93</v>
      </c>
      <c r="E82" s="248">
        <v>2014011</v>
      </c>
      <c r="F82" s="220" t="s">
        <v>61</v>
      </c>
      <c r="G82" s="221" t="s">
        <v>478</v>
      </c>
      <c r="H82" s="184" t="s">
        <v>49</v>
      </c>
      <c r="I82" s="222">
        <v>0.771</v>
      </c>
      <c r="J82" s="223" t="s">
        <v>479</v>
      </c>
      <c r="K82" s="37">
        <v>7198418.49</v>
      </c>
      <c r="L82" s="173">
        <f>ROUNDDOWN(K82*N82,2)</f>
        <v>4319051.09</v>
      </c>
      <c r="M82" s="37">
        <f>K82-L82</f>
        <v>2879367.4000000004</v>
      </c>
      <c r="N82" s="183">
        <v>0.6</v>
      </c>
      <c r="O82" s="175">
        <v>0</v>
      </c>
      <c r="P82" s="175">
        <v>0</v>
      </c>
      <c r="Q82" s="179">
        <v>0</v>
      </c>
      <c r="R82" s="175">
        <f>3750000*N82</f>
        <v>2250000</v>
      </c>
      <c r="S82" s="175">
        <f>ROUNDDOWN(3448418.49*N82,2)</f>
        <v>2069051.09</v>
      </c>
      <c r="T82" s="175"/>
      <c r="U82" s="268"/>
      <c r="V82" s="180"/>
      <c r="W82" s="180"/>
      <c r="X82" s="180"/>
      <c r="Y82" s="31" t="b">
        <f t="shared" si="12"/>
        <v>1</v>
      </c>
      <c r="Z82" s="149">
        <f t="shared" si="13"/>
        <v>0.6</v>
      </c>
      <c r="AA82" s="150" t="b">
        <f t="shared" si="14"/>
        <v>1</v>
      </c>
      <c r="AB82" s="150" t="b">
        <f t="shared" si="15"/>
        <v>1</v>
      </c>
    </row>
    <row r="83" spans="1:28" s="202" customFormat="1" ht="37.5" customHeight="1">
      <c r="A83" s="249">
        <v>81</v>
      </c>
      <c r="B83" s="228">
        <v>44</v>
      </c>
      <c r="C83" s="227" t="s">
        <v>106</v>
      </c>
      <c r="D83" s="227" t="s">
        <v>480</v>
      </c>
      <c r="E83" s="227">
        <v>2012012</v>
      </c>
      <c r="F83" s="227" t="s">
        <v>57</v>
      </c>
      <c r="G83" s="230" t="s">
        <v>481</v>
      </c>
      <c r="H83" s="219" t="s">
        <v>50</v>
      </c>
      <c r="I83" s="235">
        <v>3.59</v>
      </c>
      <c r="J83" s="228" t="s">
        <v>419</v>
      </c>
      <c r="K83" s="244">
        <v>1403824</v>
      </c>
      <c r="L83" s="205">
        <f t="shared" si="16"/>
        <v>701912</v>
      </c>
      <c r="M83" s="174">
        <f t="shared" si="11"/>
        <v>701912</v>
      </c>
      <c r="N83" s="192">
        <v>0.5</v>
      </c>
      <c r="O83" s="193">
        <v>0</v>
      </c>
      <c r="P83" s="193">
        <v>0</v>
      </c>
      <c r="Q83" s="206">
        <v>0</v>
      </c>
      <c r="R83" s="178">
        <f>L83</f>
        <v>701912</v>
      </c>
      <c r="S83" s="193"/>
      <c r="T83" s="193"/>
      <c r="U83" s="264"/>
      <c r="V83" s="180"/>
      <c r="W83" s="180"/>
      <c r="X83" s="180"/>
      <c r="Y83" s="31" t="b">
        <f t="shared" si="12"/>
        <v>1</v>
      </c>
      <c r="Z83" s="149">
        <f t="shared" si="13"/>
        <v>0.5</v>
      </c>
      <c r="AA83" s="150" t="b">
        <f t="shared" si="14"/>
        <v>1</v>
      </c>
      <c r="AB83" s="150" t="b">
        <f t="shared" si="15"/>
        <v>1</v>
      </c>
    </row>
    <row r="84" spans="1:28" s="202" customFormat="1" ht="37.5" customHeight="1">
      <c r="A84" s="249">
        <v>82</v>
      </c>
      <c r="B84" s="227">
        <v>411</v>
      </c>
      <c r="C84" s="227" t="s">
        <v>106</v>
      </c>
      <c r="D84" s="227" t="s">
        <v>140</v>
      </c>
      <c r="E84" s="250">
        <v>2012072</v>
      </c>
      <c r="F84" s="227" t="s">
        <v>57</v>
      </c>
      <c r="G84" s="234" t="s">
        <v>482</v>
      </c>
      <c r="H84" s="219" t="s">
        <v>50</v>
      </c>
      <c r="I84" s="235">
        <v>0.37</v>
      </c>
      <c r="J84" s="236" t="s">
        <v>370</v>
      </c>
      <c r="K84" s="244">
        <v>788000</v>
      </c>
      <c r="L84" s="205">
        <f t="shared" si="16"/>
        <v>394000</v>
      </c>
      <c r="M84" s="174">
        <f t="shared" si="11"/>
        <v>394000</v>
      </c>
      <c r="N84" s="192">
        <v>0.5</v>
      </c>
      <c r="O84" s="193">
        <v>0</v>
      </c>
      <c r="P84" s="193">
        <v>0</v>
      </c>
      <c r="Q84" s="206">
        <v>0</v>
      </c>
      <c r="R84" s="193">
        <f>L84</f>
        <v>394000</v>
      </c>
      <c r="S84" s="266"/>
      <c r="T84" s="266"/>
      <c r="U84" s="267"/>
      <c r="V84" s="180"/>
      <c r="W84" s="180"/>
      <c r="X84" s="180"/>
      <c r="Y84" s="31" t="b">
        <f t="shared" si="12"/>
        <v>1</v>
      </c>
      <c r="Z84" s="149">
        <f t="shared" si="13"/>
        <v>0.5</v>
      </c>
      <c r="AA84" s="150" t="b">
        <f t="shared" si="14"/>
        <v>1</v>
      </c>
      <c r="AB84" s="150" t="b">
        <f t="shared" si="15"/>
        <v>1</v>
      </c>
    </row>
    <row r="85" spans="1:28" s="202" customFormat="1" ht="37.5" customHeight="1">
      <c r="A85" s="225">
        <v>83</v>
      </c>
      <c r="B85" s="220">
        <v>85</v>
      </c>
      <c r="C85" s="220" t="s">
        <v>65</v>
      </c>
      <c r="D85" s="220" t="s">
        <v>142</v>
      </c>
      <c r="E85" s="248">
        <v>2013011</v>
      </c>
      <c r="F85" s="220" t="s">
        <v>58</v>
      </c>
      <c r="G85" s="221" t="s">
        <v>483</v>
      </c>
      <c r="H85" s="184" t="s">
        <v>49</v>
      </c>
      <c r="I85" s="222">
        <v>0.633</v>
      </c>
      <c r="J85" s="220" t="s">
        <v>484</v>
      </c>
      <c r="K85" s="37">
        <v>3962500</v>
      </c>
      <c r="L85" s="173">
        <f>ROUNDDOWN(K85*N85,2)</f>
        <v>1981250</v>
      </c>
      <c r="M85" s="37">
        <f t="shared" si="11"/>
        <v>1981250</v>
      </c>
      <c r="N85" s="183">
        <v>0.5</v>
      </c>
      <c r="O85" s="175">
        <v>0</v>
      </c>
      <c r="P85" s="175">
        <v>0</v>
      </c>
      <c r="Q85" s="179">
        <v>0</v>
      </c>
      <c r="R85" s="175">
        <f>1200000*N85</f>
        <v>600000</v>
      </c>
      <c r="S85" s="175">
        <f>2762500*N85</f>
        <v>1381250</v>
      </c>
      <c r="T85" s="175"/>
      <c r="U85" s="268"/>
      <c r="V85" s="180"/>
      <c r="W85" s="180"/>
      <c r="X85" s="180"/>
      <c r="Y85" s="31" t="b">
        <f t="shared" si="12"/>
        <v>1</v>
      </c>
      <c r="Z85" s="149">
        <f t="shared" si="13"/>
        <v>0.5</v>
      </c>
      <c r="AA85" s="150" t="b">
        <f t="shared" si="14"/>
        <v>1</v>
      </c>
      <c r="AB85" s="150" t="b">
        <f t="shared" si="15"/>
        <v>1</v>
      </c>
    </row>
    <row r="86" spans="1:28" s="202" customFormat="1" ht="37.5" customHeight="1">
      <c r="A86" s="249">
        <v>84</v>
      </c>
      <c r="B86" s="228">
        <v>317</v>
      </c>
      <c r="C86" s="227" t="s">
        <v>106</v>
      </c>
      <c r="D86" s="227" t="s">
        <v>204</v>
      </c>
      <c r="E86" s="250">
        <v>2002103</v>
      </c>
      <c r="F86" s="227" t="s">
        <v>52</v>
      </c>
      <c r="G86" s="234" t="s">
        <v>485</v>
      </c>
      <c r="H86" s="219" t="s">
        <v>75</v>
      </c>
      <c r="I86" s="235">
        <v>0.603</v>
      </c>
      <c r="J86" s="236" t="s">
        <v>323</v>
      </c>
      <c r="K86" s="244">
        <v>1014470</v>
      </c>
      <c r="L86" s="205">
        <f t="shared" si="16"/>
        <v>507235</v>
      </c>
      <c r="M86" s="174">
        <f t="shared" si="11"/>
        <v>507235</v>
      </c>
      <c r="N86" s="192">
        <v>0.5</v>
      </c>
      <c r="O86" s="193">
        <v>0</v>
      </c>
      <c r="P86" s="193">
        <v>0</v>
      </c>
      <c r="Q86" s="206">
        <v>0</v>
      </c>
      <c r="R86" s="193">
        <f aca="true" t="shared" si="18" ref="R86:R103">L86</f>
        <v>507235</v>
      </c>
      <c r="S86" s="266"/>
      <c r="T86" s="266"/>
      <c r="U86" s="267"/>
      <c r="V86" s="180"/>
      <c r="W86" s="180"/>
      <c r="X86" s="180"/>
      <c r="Y86" s="31" t="b">
        <f t="shared" si="12"/>
        <v>1</v>
      </c>
      <c r="Z86" s="149">
        <f t="shared" si="13"/>
        <v>0.5</v>
      </c>
      <c r="AA86" s="150" t="b">
        <f t="shared" si="14"/>
        <v>1</v>
      </c>
      <c r="AB86" s="150" t="b">
        <f t="shared" si="15"/>
        <v>1</v>
      </c>
    </row>
    <row r="87" spans="1:28" s="202" customFormat="1" ht="37.5" customHeight="1">
      <c r="A87" s="249">
        <v>85</v>
      </c>
      <c r="B87" s="228">
        <v>194</v>
      </c>
      <c r="C87" s="227" t="s">
        <v>106</v>
      </c>
      <c r="D87" s="227" t="s">
        <v>412</v>
      </c>
      <c r="E87" s="250">
        <v>2011052</v>
      </c>
      <c r="F87" s="227" t="s">
        <v>53</v>
      </c>
      <c r="G87" s="234" t="s">
        <v>486</v>
      </c>
      <c r="H87" s="219" t="s">
        <v>50</v>
      </c>
      <c r="I87" s="235">
        <v>1.47</v>
      </c>
      <c r="J87" s="236" t="s">
        <v>271</v>
      </c>
      <c r="K87" s="244">
        <v>2325000</v>
      </c>
      <c r="L87" s="205">
        <f t="shared" si="16"/>
        <v>1162500</v>
      </c>
      <c r="M87" s="174">
        <f t="shared" si="11"/>
        <v>1162500</v>
      </c>
      <c r="N87" s="192">
        <v>0.5</v>
      </c>
      <c r="O87" s="193">
        <v>0</v>
      </c>
      <c r="P87" s="193">
        <v>0</v>
      </c>
      <c r="Q87" s="206">
        <v>0</v>
      </c>
      <c r="R87" s="193">
        <f t="shared" si="18"/>
        <v>1162500</v>
      </c>
      <c r="S87" s="266"/>
      <c r="T87" s="266"/>
      <c r="U87" s="267"/>
      <c r="V87" s="180"/>
      <c r="W87" s="180"/>
      <c r="X87" s="180"/>
      <c r="Y87" s="31" t="b">
        <f t="shared" si="12"/>
        <v>1</v>
      </c>
      <c r="Z87" s="149">
        <f t="shared" si="13"/>
        <v>0.5</v>
      </c>
      <c r="AA87" s="150" t="b">
        <f t="shared" si="14"/>
        <v>1</v>
      </c>
      <c r="AB87" s="150" t="b">
        <f t="shared" si="15"/>
        <v>1</v>
      </c>
    </row>
    <row r="88" spans="1:28" s="202" customFormat="1" ht="37.5" customHeight="1">
      <c r="A88" s="249">
        <v>86</v>
      </c>
      <c r="B88" s="228">
        <v>144</v>
      </c>
      <c r="C88" s="227" t="s">
        <v>106</v>
      </c>
      <c r="D88" s="227" t="s">
        <v>405</v>
      </c>
      <c r="E88" s="227">
        <v>2013033</v>
      </c>
      <c r="F88" s="227" t="s">
        <v>58</v>
      </c>
      <c r="G88" s="234" t="s">
        <v>487</v>
      </c>
      <c r="H88" s="219" t="s">
        <v>50</v>
      </c>
      <c r="I88" s="235">
        <v>2.305</v>
      </c>
      <c r="J88" s="236" t="s">
        <v>488</v>
      </c>
      <c r="K88" s="244">
        <v>3058100</v>
      </c>
      <c r="L88" s="205">
        <f t="shared" si="16"/>
        <v>1529050</v>
      </c>
      <c r="M88" s="174">
        <f t="shared" si="11"/>
        <v>1529050</v>
      </c>
      <c r="N88" s="192">
        <v>0.5</v>
      </c>
      <c r="O88" s="193">
        <v>0</v>
      </c>
      <c r="P88" s="193">
        <v>0</v>
      </c>
      <c r="Q88" s="206">
        <v>0</v>
      </c>
      <c r="R88" s="193">
        <f t="shared" si="18"/>
        <v>1529050</v>
      </c>
      <c r="S88" s="266"/>
      <c r="T88" s="266"/>
      <c r="U88" s="267"/>
      <c r="V88" s="180"/>
      <c r="W88" s="180"/>
      <c r="X88" s="180"/>
      <c r="Y88" s="31" t="b">
        <f t="shared" si="12"/>
        <v>1</v>
      </c>
      <c r="Z88" s="149">
        <f t="shared" si="13"/>
        <v>0.5</v>
      </c>
      <c r="AA88" s="150" t="b">
        <f t="shared" si="14"/>
        <v>1</v>
      </c>
      <c r="AB88" s="150" t="b">
        <f t="shared" si="15"/>
        <v>1</v>
      </c>
    </row>
    <row r="89" spans="1:28" s="202" customFormat="1" ht="37.5" customHeight="1">
      <c r="A89" s="249">
        <v>87</v>
      </c>
      <c r="B89" s="227">
        <v>61</v>
      </c>
      <c r="C89" s="227" t="s">
        <v>106</v>
      </c>
      <c r="D89" s="227" t="s">
        <v>489</v>
      </c>
      <c r="E89" s="250">
        <v>2002152</v>
      </c>
      <c r="F89" s="227" t="s">
        <v>52</v>
      </c>
      <c r="G89" s="230" t="s">
        <v>490</v>
      </c>
      <c r="H89" s="219" t="s">
        <v>50</v>
      </c>
      <c r="I89" s="235">
        <v>0.845</v>
      </c>
      <c r="J89" s="228" t="s">
        <v>491</v>
      </c>
      <c r="K89" s="174">
        <v>505583.59</v>
      </c>
      <c r="L89" s="205">
        <f t="shared" si="16"/>
        <v>252791.79</v>
      </c>
      <c r="M89" s="174">
        <f t="shared" si="11"/>
        <v>252791.80000000002</v>
      </c>
      <c r="N89" s="192">
        <v>0.5</v>
      </c>
      <c r="O89" s="193">
        <v>0</v>
      </c>
      <c r="P89" s="193">
        <v>0</v>
      </c>
      <c r="Q89" s="206">
        <v>0</v>
      </c>
      <c r="R89" s="178">
        <f t="shared" si="18"/>
        <v>252791.79</v>
      </c>
      <c r="S89" s="266"/>
      <c r="T89" s="266"/>
      <c r="U89" s="267"/>
      <c r="V89" s="180"/>
      <c r="W89" s="180"/>
      <c r="X89" s="180"/>
      <c r="Y89" s="31" t="b">
        <f t="shared" si="12"/>
        <v>1</v>
      </c>
      <c r="Z89" s="149">
        <f t="shared" si="13"/>
        <v>0.5</v>
      </c>
      <c r="AA89" s="150" t="b">
        <f t="shared" si="14"/>
        <v>1</v>
      </c>
      <c r="AB89" s="150" t="b">
        <f t="shared" si="15"/>
        <v>1</v>
      </c>
    </row>
    <row r="90" spans="1:28" s="202" customFormat="1" ht="37.5" customHeight="1">
      <c r="A90" s="249">
        <v>88</v>
      </c>
      <c r="B90" s="228">
        <v>69</v>
      </c>
      <c r="C90" s="227" t="s">
        <v>106</v>
      </c>
      <c r="D90" s="227" t="s">
        <v>492</v>
      </c>
      <c r="E90" s="250">
        <v>2013093</v>
      </c>
      <c r="F90" s="227" t="s">
        <v>58</v>
      </c>
      <c r="G90" s="230" t="s">
        <v>493</v>
      </c>
      <c r="H90" s="219" t="s">
        <v>75</v>
      </c>
      <c r="I90" s="235">
        <v>0.892</v>
      </c>
      <c r="J90" s="228" t="s">
        <v>419</v>
      </c>
      <c r="K90" s="174">
        <v>966946</v>
      </c>
      <c r="L90" s="205">
        <f>ROUNDDOWN(K90*N90,2)</f>
        <v>483473</v>
      </c>
      <c r="M90" s="174">
        <f>K90-L90</f>
        <v>483473</v>
      </c>
      <c r="N90" s="192">
        <v>0.5</v>
      </c>
      <c r="O90" s="193">
        <v>0</v>
      </c>
      <c r="P90" s="193">
        <v>0</v>
      </c>
      <c r="Q90" s="206">
        <v>0</v>
      </c>
      <c r="R90" s="178">
        <f>L90</f>
        <v>483473</v>
      </c>
      <c r="S90" s="266"/>
      <c r="T90" s="266"/>
      <c r="U90" s="267"/>
      <c r="V90" s="180"/>
      <c r="W90" s="180"/>
      <c r="X90" s="180"/>
      <c r="Y90" s="31" t="b">
        <f t="shared" si="12"/>
        <v>1</v>
      </c>
      <c r="Z90" s="149">
        <f t="shared" si="13"/>
        <v>0.5</v>
      </c>
      <c r="AA90" s="150" t="b">
        <f t="shared" si="14"/>
        <v>1</v>
      </c>
      <c r="AB90" s="150" t="b">
        <f t="shared" si="15"/>
        <v>1</v>
      </c>
    </row>
    <row r="91" spans="1:28" s="202" customFormat="1" ht="37.5" customHeight="1">
      <c r="A91" s="249">
        <v>89</v>
      </c>
      <c r="B91" s="228">
        <v>57</v>
      </c>
      <c r="C91" s="227" t="s">
        <v>106</v>
      </c>
      <c r="D91" s="228" t="s">
        <v>190</v>
      </c>
      <c r="E91" s="250">
        <v>2014052</v>
      </c>
      <c r="F91" s="227" t="s">
        <v>61</v>
      </c>
      <c r="G91" s="230" t="s">
        <v>494</v>
      </c>
      <c r="H91" s="218" t="s">
        <v>49</v>
      </c>
      <c r="I91" s="231">
        <v>1.3</v>
      </c>
      <c r="J91" s="228" t="s">
        <v>495</v>
      </c>
      <c r="K91" s="174">
        <v>4301000</v>
      </c>
      <c r="L91" s="205">
        <f>ROUNDDOWN(K91*N91,2)</f>
        <v>2150500</v>
      </c>
      <c r="M91" s="174">
        <f>K91-L91</f>
        <v>2150500</v>
      </c>
      <c r="N91" s="192">
        <v>0.5</v>
      </c>
      <c r="O91" s="193">
        <v>0</v>
      </c>
      <c r="P91" s="193">
        <v>0</v>
      </c>
      <c r="Q91" s="206">
        <v>0</v>
      </c>
      <c r="R91" s="178">
        <f>L91</f>
        <v>2150500</v>
      </c>
      <c r="S91" s="193"/>
      <c r="T91" s="193"/>
      <c r="U91" s="264"/>
      <c r="V91" s="180"/>
      <c r="W91" s="180"/>
      <c r="X91" s="180"/>
      <c r="Y91" s="31" t="b">
        <f t="shared" si="12"/>
        <v>1</v>
      </c>
      <c r="Z91" s="149">
        <f t="shared" si="13"/>
        <v>0.5</v>
      </c>
      <c r="AA91" s="150" t="b">
        <f t="shared" si="14"/>
        <v>1</v>
      </c>
      <c r="AB91" s="150" t="b">
        <f t="shared" si="15"/>
        <v>1</v>
      </c>
    </row>
    <row r="92" spans="1:28" s="202" customFormat="1" ht="37.5" customHeight="1">
      <c r="A92" s="249">
        <v>90</v>
      </c>
      <c r="B92" s="228">
        <v>28</v>
      </c>
      <c r="C92" s="227" t="s">
        <v>106</v>
      </c>
      <c r="D92" s="227" t="s">
        <v>496</v>
      </c>
      <c r="E92" s="250">
        <v>2012042</v>
      </c>
      <c r="F92" s="227" t="s">
        <v>57</v>
      </c>
      <c r="G92" s="230" t="s">
        <v>497</v>
      </c>
      <c r="H92" s="218" t="s">
        <v>50</v>
      </c>
      <c r="I92" s="231">
        <v>1.92</v>
      </c>
      <c r="J92" s="228" t="s">
        <v>307</v>
      </c>
      <c r="K92" s="174">
        <v>990542.44</v>
      </c>
      <c r="L92" s="205">
        <f t="shared" si="16"/>
        <v>495271.22</v>
      </c>
      <c r="M92" s="174">
        <f t="shared" si="11"/>
        <v>495271.22</v>
      </c>
      <c r="N92" s="192">
        <v>0.5</v>
      </c>
      <c r="O92" s="193">
        <v>0</v>
      </c>
      <c r="P92" s="193">
        <v>0</v>
      </c>
      <c r="Q92" s="206">
        <v>0</v>
      </c>
      <c r="R92" s="178">
        <f t="shared" si="18"/>
        <v>495271.22</v>
      </c>
      <c r="S92" s="193"/>
      <c r="T92" s="193"/>
      <c r="U92" s="264"/>
      <c r="V92" s="180"/>
      <c r="W92" s="180"/>
      <c r="X92" s="180"/>
      <c r="Y92" s="31" t="b">
        <f t="shared" si="12"/>
        <v>1</v>
      </c>
      <c r="Z92" s="149">
        <f t="shared" si="13"/>
        <v>0.5</v>
      </c>
      <c r="AA92" s="150" t="b">
        <f t="shared" si="14"/>
        <v>1</v>
      </c>
      <c r="AB92" s="150" t="b">
        <f t="shared" si="15"/>
        <v>1</v>
      </c>
    </row>
    <row r="93" spans="1:28" s="202" customFormat="1" ht="37.5" customHeight="1">
      <c r="A93" s="249">
        <v>91</v>
      </c>
      <c r="B93" s="228">
        <v>40</v>
      </c>
      <c r="C93" s="227" t="s">
        <v>106</v>
      </c>
      <c r="D93" s="228" t="s">
        <v>498</v>
      </c>
      <c r="E93" s="250">
        <v>2010072</v>
      </c>
      <c r="F93" s="227" t="s">
        <v>63</v>
      </c>
      <c r="G93" s="230" t="s">
        <v>499</v>
      </c>
      <c r="H93" s="218" t="s">
        <v>50</v>
      </c>
      <c r="I93" s="231">
        <v>0.58</v>
      </c>
      <c r="J93" s="228" t="s">
        <v>278</v>
      </c>
      <c r="K93" s="174">
        <v>700022.16</v>
      </c>
      <c r="L93" s="205">
        <f t="shared" si="16"/>
        <v>350011.08</v>
      </c>
      <c r="M93" s="174">
        <f t="shared" si="11"/>
        <v>350011.08</v>
      </c>
      <c r="N93" s="192">
        <v>0.5</v>
      </c>
      <c r="O93" s="193">
        <v>0</v>
      </c>
      <c r="P93" s="193">
        <v>0</v>
      </c>
      <c r="Q93" s="206">
        <v>0</v>
      </c>
      <c r="R93" s="178">
        <f t="shared" si="18"/>
        <v>350011.08</v>
      </c>
      <c r="S93" s="193"/>
      <c r="T93" s="193"/>
      <c r="U93" s="264"/>
      <c r="V93" s="180"/>
      <c r="W93" s="180"/>
      <c r="X93" s="180"/>
      <c r="Y93" s="31" t="b">
        <f t="shared" si="12"/>
        <v>1</v>
      </c>
      <c r="Z93" s="149">
        <f t="shared" si="13"/>
        <v>0.5</v>
      </c>
      <c r="AA93" s="150" t="b">
        <f t="shared" si="14"/>
        <v>1</v>
      </c>
      <c r="AB93" s="150" t="b">
        <f t="shared" si="15"/>
        <v>1</v>
      </c>
    </row>
    <row r="94" spans="1:28" s="202" customFormat="1" ht="37.5" customHeight="1">
      <c r="A94" s="249">
        <v>92</v>
      </c>
      <c r="B94" s="228">
        <v>22</v>
      </c>
      <c r="C94" s="227" t="s">
        <v>106</v>
      </c>
      <c r="D94" s="228" t="s">
        <v>500</v>
      </c>
      <c r="E94" s="250">
        <v>2013102</v>
      </c>
      <c r="F94" s="227" t="s">
        <v>58</v>
      </c>
      <c r="G94" s="230" t="s">
        <v>501</v>
      </c>
      <c r="H94" s="218" t="s">
        <v>75</v>
      </c>
      <c r="I94" s="231">
        <v>1.37</v>
      </c>
      <c r="J94" s="228" t="s">
        <v>278</v>
      </c>
      <c r="K94" s="174">
        <v>1288710.79</v>
      </c>
      <c r="L94" s="205">
        <f t="shared" si="16"/>
        <v>644355.39</v>
      </c>
      <c r="M94" s="174">
        <f t="shared" si="11"/>
        <v>644355.4</v>
      </c>
      <c r="N94" s="192">
        <v>0.5</v>
      </c>
      <c r="O94" s="193">
        <v>0</v>
      </c>
      <c r="P94" s="193">
        <v>0</v>
      </c>
      <c r="Q94" s="206">
        <v>0</v>
      </c>
      <c r="R94" s="178">
        <f t="shared" si="18"/>
        <v>644355.39</v>
      </c>
      <c r="S94" s="193"/>
      <c r="T94" s="193"/>
      <c r="U94" s="264"/>
      <c r="V94" s="180"/>
      <c r="W94" s="180"/>
      <c r="X94" s="180"/>
      <c r="Y94" s="31" t="b">
        <f t="shared" si="12"/>
        <v>1</v>
      </c>
      <c r="Z94" s="149">
        <f t="shared" si="13"/>
        <v>0.5</v>
      </c>
      <c r="AA94" s="150" t="b">
        <f t="shared" si="14"/>
        <v>1</v>
      </c>
      <c r="AB94" s="150" t="b">
        <f t="shared" si="15"/>
        <v>1</v>
      </c>
    </row>
    <row r="95" spans="1:28" s="202" customFormat="1" ht="37.5" customHeight="1">
      <c r="A95" s="249">
        <v>93</v>
      </c>
      <c r="B95" s="227">
        <v>67</v>
      </c>
      <c r="C95" s="227" t="s">
        <v>106</v>
      </c>
      <c r="D95" s="227" t="s">
        <v>148</v>
      </c>
      <c r="E95" s="250">
        <v>2004062</v>
      </c>
      <c r="F95" s="227" t="s">
        <v>54</v>
      </c>
      <c r="G95" s="230" t="s">
        <v>502</v>
      </c>
      <c r="H95" s="219" t="s">
        <v>50</v>
      </c>
      <c r="I95" s="235">
        <v>0.99</v>
      </c>
      <c r="J95" s="228" t="s">
        <v>503</v>
      </c>
      <c r="K95" s="174">
        <v>1213520</v>
      </c>
      <c r="L95" s="205">
        <f t="shared" si="16"/>
        <v>606760</v>
      </c>
      <c r="M95" s="174">
        <f t="shared" si="11"/>
        <v>606760</v>
      </c>
      <c r="N95" s="192">
        <v>0.5</v>
      </c>
      <c r="O95" s="193">
        <v>0</v>
      </c>
      <c r="P95" s="193">
        <v>0</v>
      </c>
      <c r="Q95" s="206">
        <v>0</v>
      </c>
      <c r="R95" s="178">
        <f t="shared" si="18"/>
        <v>606760</v>
      </c>
      <c r="S95" s="266"/>
      <c r="T95" s="266"/>
      <c r="U95" s="267"/>
      <c r="V95" s="180"/>
      <c r="W95" s="180"/>
      <c r="X95" s="180"/>
      <c r="Y95" s="31" t="b">
        <f t="shared" si="12"/>
        <v>1</v>
      </c>
      <c r="Z95" s="149">
        <f t="shared" si="13"/>
        <v>0.5</v>
      </c>
      <c r="AA95" s="150" t="b">
        <f t="shared" si="14"/>
        <v>1</v>
      </c>
      <c r="AB95" s="150" t="b">
        <f t="shared" si="15"/>
        <v>1</v>
      </c>
    </row>
    <row r="96" spans="1:28" s="202" customFormat="1" ht="37.5" customHeight="1">
      <c r="A96" s="225">
        <v>94</v>
      </c>
      <c r="B96" s="220">
        <v>385</v>
      </c>
      <c r="C96" s="220" t="s">
        <v>65</v>
      </c>
      <c r="D96" s="220" t="s">
        <v>504</v>
      </c>
      <c r="E96" s="220">
        <v>2013023</v>
      </c>
      <c r="F96" s="220" t="s">
        <v>58</v>
      </c>
      <c r="G96" s="221" t="s">
        <v>505</v>
      </c>
      <c r="H96" s="184" t="s">
        <v>50</v>
      </c>
      <c r="I96" s="222">
        <v>1.687</v>
      </c>
      <c r="J96" s="223" t="s">
        <v>506</v>
      </c>
      <c r="K96" s="37">
        <v>2320695.02</v>
      </c>
      <c r="L96" s="173">
        <f>ROUNDDOWN(K96*N96,2)</f>
        <v>1160347.51</v>
      </c>
      <c r="M96" s="37">
        <f>K96-L96</f>
        <v>1160347.51</v>
      </c>
      <c r="N96" s="183">
        <v>0.5</v>
      </c>
      <c r="O96" s="175">
        <v>0</v>
      </c>
      <c r="P96" s="175">
        <v>0</v>
      </c>
      <c r="Q96" s="179">
        <v>0</v>
      </c>
      <c r="R96" s="175">
        <f>117534.75*N96</f>
        <v>58767.375</v>
      </c>
      <c r="S96" s="175">
        <f>2203160.27*N96</f>
        <v>1101580.135</v>
      </c>
      <c r="T96" s="175"/>
      <c r="U96" s="268"/>
      <c r="V96" s="180"/>
      <c r="W96" s="180"/>
      <c r="X96" s="180"/>
      <c r="Y96" s="31" t="b">
        <f t="shared" si="12"/>
        <v>1</v>
      </c>
      <c r="Z96" s="149">
        <f t="shared" si="13"/>
        <v>0.5</v>
      </c>
      <c r="AA96" s="150" t="b">
        <f t="shared" si="14"/>
        <v>1</v>
      </c>
      <c r="AB96" s="150" t="b">
        <f t="shared" si="15"/>
        <v>1</v>
      </c>
    </row>
    <row r="97" spans="1:28" s="202" customFormat="1" ht="37.5" customHeight="1">
      <c r="A97" s="249">
        <v>95</v>
      </c>
      <c r="B97" s="227">
        <v>397</v>
      </c>
      <c r="C97" s="227" t="s">
        <v>106</v>
      </c>
      <c r="D97" s="227" t="s">
        <v>504</v>
      </c>
      <c r="E97" s="227">
        <v>2013023</v>
      </c>
      <c r="F97" s="227" t="s">
        <v>58</v>
      </c>
      <c r="G97" s="234" t="s">
        <v>507</v>
      </c>
      <c r="H97" s="219" t="s">
        <v>49</v>
      </c>
      <c r="I97" s="235">
        <v>1.625</v>
      </c>
      <c r="J97" s="236" t="s">
        <v>307</v>
      </c>
      <c r="K97" s="244">
        <v>2208642.49</v>
      </c>
      <c r="L97" s="205">
        <f>ROUNDDOWN(K97*N97,2)</f>
        <v>1104321.24</v>
      </c>
      <c r="M97" s="174">
        <f>K97-L97</f>
        <v>1104321.2500000002</v>
      </c>
      <c r="N97" s="192">
        <v>0.5</v>
      </c>
      <c r="O97" s="193">
        <v>0</v>
      </c>
      <c r="P97" s="193">
        <v>0</v>
      </c>
      <c r="Q97" s="206">
        <v>0</v>
      </c>
      <c r="R97" s="193">
        <f>L97</f>
        <v>1104321.24</v>
      </c>
      <c r="S97" s="266"/>
      <c r="T97" s="266"/>
      <c r="U97" s="267"/>
      <c r="V97" s="180"/>
      <c r="W97" s="180"/>
      <c r="X97" s="180"/>
      <c r="Y97" s="31" t="b">
        <f t="shared" si="12"/>
        <v>1</v>
      </c>
      <c r="Z97" s="149">
        <f t="shared" si="13"/>
        <v>0.5</v>
      </c>
      <c r="AA97" s="150" t="b">
        <f t="shared" si="14"/>
        <v>1</v>
      </c>
      <c r="AB97" s="150" t="b">
        <f t="shared" si="15"/>
        <v>1</v>
      </c>
    </row>
    <row r="98" spans="1:28" s="202" customFormat="1" ht="37.5" customHeight="1">
      <c r="A98" s="249">
        <v>96</v>
      </c>
      <c r="B98" s="228">
        <v>309</v>
      </c>
      <c r="C98" s="227" t="s">
        <v>106</v>
      </c>
      <c r="D98" s="227" t="s">
        <v>508</v>
      </c>
      <c r="E98" s="227">
        <v>2003052</v>
      </c>
      <c r="F98" s="227" t="s">
        <v>55</v>
      </c>
      <c r="G98" s="234" t="s">
        <v>509</v>
      </c>
      <c r="H98" s="219" t="s">
        <v>50</v>
      </c>
      <c r="I98" s="235">
        <v>2.18</v>
      </c>
      <c r="J98" s="236" t="s">
        <v>349</v>
      </c>
      <c r="K98" s="244">
        <v>2452000</v>
      </c>
      <c r="L98" s="205">
        <f t="shared" si="16"/>
        <v>1226000</v>
      </c>
      <c r="M98" s="174">
        <f t="shared" si="11"/>
        <v>1226000</v>
      </c>
      <c r="N98" s="192">
        <v>0.5</v>
      </c>
      <c r="O98" s="193">
        <v>0</v>
      </c>
      <c r="P98" s="193">
        <v>0</v>
      </c>
      <c r="Q98" s="206">
        <v>0</v>
      </c>
      <c r="R98" s="193">
        <f t="shared" si="18"/>
        <v>1226000</v>
      </c>
      <c r="S98" s="266"/>
      <c r="T98" s="266"/>
      <c r="U98" s="267"/>
      <c r="V98" s="180"/>
      <c r="W98" s="180"/>
      <c r="X98" s="180"/>
      <c r="Y98" s="31" t="b">
        <f t="shared" si="12"/>
        <v>1</v>
      </c>
      <c r="Z98" s="149">
        <f t="shared" si="13"/>
        <v>0.5</v>
      </c>
      <c r="AA98" s="150" t="b">
        <f t="shared" si="14"/>
        <v>1</v>
      </c>
      <c r="AB98" s="150" t="b">
        <f t="shared" si="15"/>
        <v>1</v>
      </c>
    </row>
    <row r="99" spans="1:28" s="202" customFormat="1" ht="37.5" customHeight="1">
      <c r="A99" s="249">
        <v>97</v>
      </c>
      <c r="B99" s="228">
        <v>353</v>
      </c>
      <c r="C99" s="227" t="s">
        <v>106</v>
      </c>
      <c r="D99" s="227" t="s">
        <v>158</v>
      </c>
      <c r="E99" s="250">
        <v>2011022</v>
      </c>
      <c r="F99" s="227" t="s">
        <v>53</v>
      </c>
      <c r="G99" s="234" t="s">
        <v>510</v>
      </c>
      <c r="H99" s="219" t="s">
        <v>50</v>
      </c>
      <c r="I99" s="235">
        <v>1.198</v>
      </c>
      <c r="J99" s="236" t="s">
        <v>423</v>
      </c>
      <c r="K99" s="244">
        <v>1166090.31</v>
      </c>
      <c r="L99" s="205">
        <f t="shared" si="16"/>
        <v>583045.15</v>
      </c>
      <c r="M99" s="174">
        <f t="shared" si="11"/>
        <v>583045.16</v>
      </c>
      <c r="N99" s="192">
        <v>0.5</v>
      </c>
      <c r="O99" s="193">
        <v>0</v>
      </c>
      <c r="P99" s="193">
        <v>0</v>
      </c>
      <c r="Q99" s="206">
        <v>0</v>
      </c>
      <c r="R99" s="193">
        <f t="shared" si="18"/>
        <v>583045.15</v>
      </c>
      <c r="S99" s="266"/>
      <c r="T99" s="266"/>
      <c r="U99" s="267"/>
      <c r="V99" s="180"/>
      <c r="W99" s="180"/>
      <c r="X99" s="180"/>
      <c r="Y99" s="31" t="b">
        <f t="shared" si="12"/>
        <v>1</v>
      </c>
      <c r="Z99" s="149">
        <f t="shared" si="13"/>
        <v>0.5</v>
      </c>
      <c r="AA99" s="150" t="b">
        <f t="shared" si="14"/>
        <v>1</v>
      </c>
      <c r="AB99" s="150" t="b">
        <f t="shared" si="15"/>
        <v>1</v>
      </c>
    </row>
    <row r="100" spans="1:28" s="202" customFormat="1" ht="37.5" customHeight="1">
      <c r="A100" s="249">
        <v>98</v>
      </c>
      <c r="B100" s="227">
        <v>271</v>
      </c>
      <c r="C100" s="227" t="s">
        <v>106</v>
      </c>
      <c r="D100" s="227" t="s">
        <v>163</v>
      </c>
      <c r="E100" s="250">
        <v>2010082</v>
      </c>
      <c r="F100" s="228" t="s">
        <v>63</v>
      </c>
      <c r="G100" s="234" t="s">
        <v>237</v>
      </c>
      <c r="H100" s="219" t="s">
        <v>50</v>
      </c>
      <c r="I100" s="235">
        <v>0.237</v>
      </c>
      <c r="J100" s="236" t="s">
        <v>349</v>
      </c>
      <c r="K100" s="244">
        <v>559382.2</v>
      </c>
      <c r="L100" s="205">
        <f t="shared" si="16"/>
        <v>279691.1</v>
      </c>
      <c r="M100" s="174">
        <f t="shared" si="11"/>
        <v>279691.1</v>
      </c>
      <c r="N100" s="192">
        <v>0.5</v>
      </c>
      <c r="O100" s="193">
        <v>0</v>
      </c>
      <c r="P100" s="193">
        <v>0</v>
      </c>
      <c r="Q100" s="206">
        <v>0</v>
      </c>
      <c r="R100" s="193">
        <f t="shared" si="18"/>
        <v>279691.1</v>
      </c>
      <c r="S100" s="266"/>
      <c r="T100" s="266"/>
      <c r="U100" s="267"/>
      <c r="V100" s="180"/>
      <c r="W100" s="180"/>
      <c r="X100" s="180"/>
      <c r="Y100" s="31" t="b">
        <f t="shared" si="12"/>
        <v>1</v>
      </c>
      <c r="Z100" s="149">
        <f t="shared" si="13"/>
        <v>0.5</v>
      </c>
      <c r="AA100" s="150" t="b">
        <f t="shared" si="14"/>
        <v>1</v>
      </c>
      <c r="AB100" s="150" t="b">
        <f t="shared" si="15"/>
        <v>1</v>
      </c>
    </row>
    <row r="101" spans="1:28" s="202" customFormat="1" ht="37.5" customHeight="1">
      <c r="A101" s="249">
        <v>99</v>
      </c>
      <c r="B101" s="227">
        <v>48</v>
      </c>
      <c r="C101" s="227" t="s">
        <v>106</v>
      </c>
      <c r="D101" s="227" t="s">
        <v>511</v>
      </c>
      <c r="E101" s="250">
        <v>2012062</v>
      </c>
      <c r="F101" s="227" t="s">
        <v>57</v>
      </c>
      <c r="G101" s="230" t="s">
        <v>512</v>
      </c>
      <c r="H101" s="219" t="s">
        <v>50</v>
      </c>
      <c r="I101" s="235">
        <v>1.28</v>
      </c>
      <c r="J101" s="228" t="s">
        <v>419</v>
      </c>
      <c r="K101" s="244">
        <v>2519440.86</v>
      </c>
      <c r="L101" s="205">
        <f t="shared" si="16"/>
        <v>1259720.43</v>
      </c>
      <c r="M101" s="174">
        <f t="shared" si="11"/>
        <v>1259720.43</v>
      </c>
      <c r="N101" s="192">
        <v>0.5</v>
      </c>
      <c r="O101" s="193">
        <v>0</v>
      </c>
      <c r="P101" s="193">
        <v>0</v>
      </c>
      <c r="Q101" s="206">
        <v>0</v>
      </c>
      <c r="R101" s="193">
        <f t="shared" si="18"/>
        <v>1259720.43</v>
      </c>
      <c r="S101" s="266"/>
      <c r="T101" s="266"/>
      <c r="U101" s="267"/>
      <c r="V101" s="180"/>
      <c r="W101" s="180"/>
      <c r="X101" s="180"/>
      <c r="Y101" s="31" t="b">
        <f t="shared" si="12"/>
        <v>1</v>
      </c>
      <c r="Z101" s="149">
        <f t="shared" si="13"/>
        <v>0.5</v>
      </c>
      <c r="AA101" s="150" t="b">
        <f t="shared" si="14"/>
        <v>1</v>
      </c>
      <c r="AB101" s="150" t="b">
        <f t="shared" si="15"/>
        <v>1</v>
      </c>
    </row>
    <row r="102" spans="1:28" s="202" customFormat="1" ht="37.5" customHeight="1">
      <c r="A102" s="249">
        <v>100</v>
      </c>
      <c r="B102" s="227">
        <v>418</v>
      </c>
      <c r="C102" s="227" t="s">
        <v>106</v>
      </c>
      <c r="D102" s="227" t="s">
        <v>475</v>
      </c>
      <c r="E102" s="250">
        <v>2006053</v>
      </c>
      <c r="F102" s="227" t="s">
        <v>147</v>
      </c>
      <c r="G102" s="234" t="s">
        <v>513</v>
      </c>
      <c r="H102" s="219" t="s">
        <v>50</v>
      </c>
      <c r="I102" s="235">
        <v>0.728</v>
      </c>
      <c r="J102" s="236" t="s">
        <v>259</v>
      </c>
      <c r="K102" s="244">
        <v>954000</v>
      </c>
      <c r="L102" s="205">
        <f t="shared" si="16"/>
        <v>477000</v>
      </c>
      <c r="M102" s="174">
        <f t="shared" si="11"/>
        <v>477000</v>
      </c>
      <c r="N102" s="192">
        <v>0.5</v>
      </c>
      <c r="O102" s="193">
        <v>0</v>
      </c>
      <c r="P102" s="193">
        <v>0</v>
      </c>
      <c r="Q102" s="206">
        <v>0</v>
      </c>
      <c r="R102" s="193">
        <f t="shared" si="18"/>
        <v>477000</v>
      </c>
      <c r="S102" s="266"/>
      <c r="T102" s="266"/>
      <c r="U102" s="267"/>
      <c r="V102" s="180"/>
      <c r="W102" s="180"/>
      <c r="X102" s="180"/>
      <c r="Y102" s="31" t="b">
        <f t="shared" si="12"/>
        <v>1</v>
      </c>
      <c r="Z102" s="149">
        <f t="shared" si="13"/>
        <v>0.5</v>
      </c>
      <c r="AA102" s="150" t="b">
        <f t="shared" si="14"/>
        <v>1</v>
      </c>
      <c r="AB102" s="150" t="b">
        <f t="shared" si="15"/>
        <v>1</v>
      </c>
    </row>
    <row r="103" spans="1:28" s="202" customFormat="1" ht="37.5" customHeight="1">
      <c r="A103" s="249">
        <v>101</v>
      </c>
      <c r="B103" s="227">
        <v>232</v>
      </c>
      <c r="C103" s="227" t="s">
        <v>106</v>
      </c>
      <c r="D103" s="227" t="s">
        <v>514</v>
      </c>
      <c r="E103" s="250">
        <v>2001072</v>
      </c>
      <c r="F103" s="227" t="s">
        <v>157</v>
      </c>
      <c r="G103" s="234" t="s">
        <v>515</v>
      </c>
      <c r="H103" s="219" t="s">
        <v>50</v>
      </c>
      <c r="I103" s="235">
        <v>2.3</v>
      </c>
      <c r="J103" s="236" t="s">
        <v>516</v>
      </c>
      <c r="K103" s="244">
        <v>906000</v>
      </c>
      <c r="L103" s="205">
        <f>ROUNDDOWN(K103*N103,2)</f>
        <v>453000</v>
      </c>
      <c r="M103" s="174">
        <f>K103-L103</f>
        <v>453000</v>
      </c>
      <c r="N103" s="192">
        <v>0.5</v>
      </c>
      <c r="O103" s="193">
        <v>0</v>
      </c>
      <c r="P103" s="193">
        <v>0</v>
      </c>
      <c r="Q103" s="206">
        <v>0</v>
      </c>
      <c r="R103" s="193">
        <f t="shared" si="18"/>
        <v>453000</v>
      </c>
      <c r="S103" s="266"/>
      <c r="T103" s="266"/>
      <c r="U103" s="267"/>
      <c r="V103" s="180"/>
      <c r="W103" s="180"/>
      <c r="X103" s="180"/>
      <c r="Y103" s="31" t="b">
        <f aca="true" t="shared" si="19" ref="Y103:Y116">L103=SUM(O103:X103)</f>
        <v>1</v>
      </c>
      <c r="Z103" s="149">
        <f aca="true" t="shared" si="20" ref="Z103:Z117">ROUND(L103/K103,4)</f>
        <v>0.5</v>
      </c>
      <c r="AA103" s="150" t="b">
        <f aca="true" t="shared" si="21" ref="AA103:AA117">Z103=N103</f>
        <v>1</v>
      </c>
      <c r="AB103" s="150" t="b">
        <f aca="true" t="shared" si="22" ref="AB103:AB116">K103=L103+M103</f>
        <v>1</v>
      </c>
    </row>
    <row r="104" spans="1:28" s="202" customFormat="1" ht="37.5" customHeight="1">
      <c r="A104" s="225">
        <v>102</v>
      </c>
      <c r="B104" s="220">
        <v>180</v>
      </c>
      <c r="C104" s="220" t="s">
        <v>65</v>
      </c>
      <c r="D104" s="220" t="s">
        <v>517</v>
      </c>
      <c r="E104" s="248">
        <v>2006011</v>
      </c>
      <c r="F104" s="220" t="s">
        <v>147</v>
      </c>
      <c r="G104" s="221" t="s">
        <v>518</v>
      </c>
      <c r="H104" s="184" t="s">
        <v>75</v>
      </c>
      <c r="I104" s="222">
        <v>0.314</v>
      </c>
      <c r="J104" s="223" t="s">
        <v>519</v>
      </c>
      <c r="K104" s="37">
        <v>1201000</v>
      </c>
      <c r="L104" s="173">
        <f>ROUNDDOWN(K104*N104,2)</f>
        <v>720600</v>
      </c>
      <c r="M104" s="37">
        <f t="shared" si="11"/>
        <v>480400</v>
      </c>
      <c r="N104" s="183">
        <v>0.6</v>
      </c>
      <c r="O104" s="175">
        <v>0</v>
      </c>
      <c r="P104" s="175">
        <v>0</v>
      </c>
      <c r="Q104" s="179">
        <v>0</v>
      </c>
      <c r="R104" s="175">
        <f>600000*N104</f>
        <v>360000</v>
      </c>
      <c r="S104" s="175">
        <f>601000*N104</f>
        <v>360600</v>
      </c>
      <c r="T104" s="175"/>
      <c r="U104" s="268"/>
      <c r="V104" s="180"/>
      <c r="W104" s="180"/>
      <c r="X104" s="180"/>
      <c r="Y104" s="31" t="b">
        <f t="shared" si="19"/>
        <v>1</v>
      </c>
      <c r="Z104" s="149">
        <f t="shared" si="20"/>
        <v>0.6</v>
      </c>
      <c r="AA104" s="150" t="b">
        <f t="shared" si="21"/>
        <v>1</v>
      </c>
      <c r="AB104" s="150" t="b">
        <f t="shared" si="22"/>
        <v>1</v>
      </c>
    </row>
    <row r="105" spans="1:28" s="202" customFormat="1" ht="37.5" customHeight="1">
      <c r="A105" s="249">
        <v>103</v>
      </c>
      <c r="B105" s="228">
        <v>179</v>
      </c>
      <c r="C105" s="227" t="s">
        <v>106</v>
      </c>
      <c r="D105" s="227" t="s">
        <v>517</v>
      </c>
      <c r="E105" s="250">
        <v>2006011</v>
      </c>
      <c r="F105" s="227" t="s">
        <v>147</v>
      </c>
      <c r="G105" s="234" t="s">
        <v>520</v>
      </c>
      <c r="H105" s="218" t="s">
        <v>49</v>
      </c>
      <c r="I105" s="231">
        <v>0.159</v>
      </c>
      <c r="J105" s="232" t="s">
        <v>419</v>
      </c>
      <c r="K105" s="174">
        <v>608000</v>
      </c>
      <c r="L105" s="205">
        <f t="shared" si="16"/>
        <v>364800</v>
      </c>
      <c r="M105" s="174">
        <f t="shared" si="11"/>
        <v>243200</v>
      </c>
      <c r="N105" s="192">
        <v>0.6</v>
      </c>
      <c r="O105" s="193">
        <v>0</v>
      </c>
      <c r="P105" s="193">
        <v>0</v>
      </c>
      <c r="Q105" s="206">
        <v>0</v>
      </c>
      <c r="R105" s="178">
        <f aca="true" t="shared" si="23" ref="R105:R123">L105</f>
        <v>364800</v>
      </c>
      <c r="S105" s="266"/>
      <c r="T105" s="266"/>
      <c r="U105" s="267"/>
      <c r="V105" s="180"/>
      <c r="W105" s="180"/>
      <c r="X105" s="180"/>
      <c r="Y105" s="31" t="b">
        <f t="shared" si="19"/>
        <v>1</v>
      </c>
      <c r="Z105" s="149">
        <f t="shared" si="20"/>
        <v>0.6</v>
      </c>
      <c r="AA105" s="150" t="b">
        <f t="shared" si="21"/>
        <v>1</v>
      </c>
      <c r="AB105" s="150" t="b">
        <f t="shared" si="22"/>
        <v>1</v>
      </c>
    </row>
    <row r="106" spans="1:28" s="202" customFormat="1" ht="37.5" customHeight="1">
      <c r="A106" s="249">
        <v>104</v>
      </c>
      <c r="B106" s="228">
        <v>368</v>
      </c>
      <c r="C106" s="227" t="s">
        <v>106</v>
      </c>
      <c r="D106" s="227" t="s">
        <v>521</v>
      </c>
      <c r="E106" s="250">
        <v>2009032</v>
      </c>
      <c r="F106" s="228" t="s">
        <v>155</v>
      </c>
      <c r="G106" s="234" t="s">
        <v>522</v>
      </c>
      <c r="H106" s="219" t="s">
        <v>50</v>
      </c>
      <c r="I106" s="235">
        <v>1.54</v>
      </c>
      <c r="J106" s="232" t="s">
        <v>370</v>
      </c>
      <c r="K106" s="174">
        <v>697417.81</v>
      </c>
      <c r="L106" s="205">
        <f t="shared" si="16"/>
        <v>348708.9</v>
      </c>
      <c r="M106" s="174">
        <f t="shared" si="11"/>
        <v>348708.91000000003</v>
      </c>
      <c r="N106" s="192">
        <v>0.5</v>
      </c>
      <c r="O106" s="193">
        <v>0</v>
      </c>
      <c r="P106" s="193">
        <v>0</v>
      </c>
      <c r="Q106" s="206">
        <v>0</v>
      </c>
      <c r="R106" s="193">
        <f t="shared" si="23"/>
        <v>348708.9</v>
      </c>
      <c r="S106" s="266"/>
      <c r="T106" s="266"/>
      <c r="U106" s="267"/>
      <c r="V106" s="180"/>
      <c r="W106" s="180"/>
      <c r="X106" s="180"/>
      <c r="Y106" s="31" t="b">
        <f t="shared" si="19"/>
        <v>1</v>
      </c>
      <c r="Z106" s="149">
        <f t="shared" si="20"/>
        <v>0.5</v>
      </c>
      <c r="AA106" s="150" t="b">
        <f t="shared" si="21"/>
        <v>1</v>
      </c>
      <c r="AB106" s="150" t="b">
        <f t="shared" si="22"/>
        <v>1</v>
      </c>
    </row>
    <row r="107" spans="1:28" s="202" customFormat="1" ht="37.5" customHeight="1">
      <c r="A107" s="249">
        <v>105</v>
      </c>
      <c r="B107" s="228">
        <v>74</v>
      </c>
      <c r="C107" s="227" t="s">
        <v>106</v>
      </c>
      <c r="D107" s="227" t="s">
        <v>523</v>
      </c>
      <c r="E107" s="250">
        <v>2006042</v>
      </c>
      <c r="F107" s="227" t="s">
        <v>147</v>
      </c>
      <c r="G107" s="230" t="s">
        <v>524</v>
      </c>
      <c r="H107" s="219" t="s">
        <v>50</v>
      </c>
      <c r="I107" s="235">
        <v>0.376</v>
      </c>
      <c r="J107" s="228" t="s">
        <v>416</v>
      </c>
      <c r="K107" s="174">
        <v>320800</v>
      </c>
      <c r="L107" s="205">
        <f t="shared" si="16"/>
        <v>160400</v>
      </c>
      <c r="M107" s="174">
        <f t="shared" si="11"/>
        <v>160400</v>
      </c>
      <c r="N107" s="192">
        <v>0.5</v>
      </c>
      <c r="O107" s="193">
        <v>0</v>
      </c>
      <c r="P107" s="193">
        <v>0</v>
      </c>
      <c r="Q107" s="206">
        <v>0</v>
      </c>
      <c r="R107" s="193">
        <f t="shared" si="23"/>
        <v>160400</v>
      </c>
      <c r="S107" s="266"/>
      <c r="T107" s="266"/>
      <c r="U107" s="267"/>
      <c r="V107" s="180"/>
      <c r="W107" s="180"/>
      <c r="X107" s="180"/>
      <c r="Y107" s="31" t="b">
        <f t="shared" si="19"/>
        <v>1</v>
      </c>
      <c r="Z107" s="149">
        <f t="shared" si="20"/>
        <v>0.5</v>
      </c>
      <c r="AA107" s="150" t="b">
        <f t="shared" si="21"/>
        <v>1</v>
      </c>
      <c r="AB107" s="150" t="b">
        <f t="shared" si="22"/>
        <v>1</v>
      </c>
    </row>
    <row r="108" spans="1:28" s="202" customFormat="1" ht="37.5" customHeight="1">
      <c r="A108" s="249">
        <v>106</v>
      </c>
      <c r="B108" s="227">
        <v>352</v>
      </c>
      <c r="C108" s="227" t="s">
        <v>106</v>
      </c>
      <c r="D108" s="227" t="s">
        <v>525</v>
      </c>
      <c r="E108" s="250">
        <v>2010032</v>
      </c>
      <c r="F108" s="228" t="s">
        <v>63</v>
      </c>
      <c r="G108" s="234" t="s">
        <v>526</v>
      </c>
      <c r="H108" s="219" t="s">
        <v>50</v>
      </c>
      <c r="I108" s="231">
        <v>0.969</v>
      </c>
      <c r="J108" s="232" t="s">
        <v>259</v>
      </c>
      <c r="K108" s="174">
        <v>2549726.12</v>
      </c>
      <c r="L108" s="205">
        <f t="shared" si="16"/>
        <v>1274863.06</v>
      </c>
      <c r="M108" s="174">
        <f t="shared" si="11"/>
        <v>1274863.06</v>
      </c>
      <c r="N108" s="192">
        <v>0.5</v>
      </c>
      <c r="O108" s="193">
        <v>0</v>
      </c>
      <c r="P108" s="193">
        <v>0</v>
      </c>
      <c r="Q108" s="206">
        <v>0</v>
      </c>
      <c r="R108" s="193">
        <f t="shared" si="23"/>
        <v>1274863.06</v>
      </c>
      <c r="S108" s="266"/>
      <c r="T108" s="266"/>
      <c r="U108" s="267"/>
      <c r="V108" s="180"/>
      <c r="W108" s="180"/>
      <c r="X108" s="180"/>
      <c r="Y108" s="31" t="b">
        <f t="shared" si="19"/>
        <v>1</v>
      </c>
      <c r="Z108" s="149">
        <f t="shared" si="20"/>
        <v>0.5</v>
      </c>
      <c r="AA108" s="150" t="b">
        <f t="shared" si="21"/>
        <v>1</v>
      </c>
      <c r="AB108" s="150" t="b">
        <f t="shared" si="22"/>
        <v>1</v>
      </c>
    </row>
    <row r="109" spans="1:28" s="202" customFormat="1" ht="37.5" customHeight="1">
      <c r="A109" s="249">
        <v>107</v>
      </c>
      <c r="B109" s="227">
        <v>370</v>
      </c>
      <c r="C109" s="227" t="s">
        <v>106</v>
      </c>
      <c r="D109" s="227" t="s">
        <v>521</v>
      </c>
      <c r="E109" s="250">
        <v>2009032</v>
      </c>
      <c r="F109" s="228" t="s">
        <v>155</v>
      </c>
      <c r="G109" s="234" t="s">
        <v>527</v>
      </c>
      <c r="H109" s="219" t="s">
        <v>50</v>
      </c>
      <c r="I109" s="235">
        <v>2.6</v>
      </c>
      <c r="J109" s="232" t="s">
        <v>370</v>
      </c>
      <c r="K109" s="174">
        <v>1687601.81</v>
      </c>
      <c r="L109" s="205">
        <f>ROUNDDOWN(K109*N109,2)</f>
        <v>843800.9</v>
      </c>
      <c r="M109" s="174">
        <f>K109-L109</f>
        <v>843800.91</v>
      </c>
      <c r="N109" s="192">
        <v>0.5</v>
      </c>
      <c r="O109" s="193">
        <v>0</v>
      </c>
      <c r="P109" s="193">
        <v>0</v>
      </c>
      <c r="Q109" s="206">
        <v>0</v>
      </c>
      <c r="R109" s="193">
        <f>L109</f>
        <v>843800.9</v>
      </c>
      <c r="S109" s="266"/>
      <c r="T109" s="266"/>
      <c r="U109" s="267"/>
      <c r="V109" s="180"/>
      <c r="W109" s="180"/>
      <c r="X109" s="180"/>
      <c r="Y109" s="31" t="b">
        <f t="shared" si="19"/>
        <v>1</v>
      </c>
      <c r="Z109" s="149">
        <f t="shared" si="20"/>
        <v>0.5</v>
      </c>
      <c r="AA109" s="150" t="b">
        <f t="shared" si="21"/>
        <v>1</v>
      </c>
      <c r="AB109" s="150" t="b">
        <f t="shared" si="22"/>
        <v>1</v>
      </c>
    </row>
    <row r="110" spans="1:28" s="202" customFormat="1" ht="37.5" customHeight="1">
      <c r="A110" s="249">
        <v>108</v>
      </c>
      <c r="B110" s="227">
        <v>268</v>
      </c>
      <c r="C110" s="227" t="s">
        <v>106</v>
      </c>
      <c r="D110" s="227" t="s">
        <v>528</v>
      </c>
      <c r="E110" s="250">
        <v>2006032</v>
      </c>
      <c r="F110" s="227" t="s">
        <v>147</v>
      </c>
      <c r="G110" s="234" t="s">
        <v>529</v>
      </c>
      <c r="H110" s="219" t="s">
        <v>50</v>
      </c>
      <c r="I110" s="235">
        <v>0.628</v>
      </c>
      <c r="J110" s="236" t="s">
        <v>328</v>
      </c>
      <c r="K110" s="174">
        <v>874214.52</v>
      </c>
      <c r="L110" s="205">
        <f t="shared" si="16"/>
        <v>437107.26</v>
      </c>
      <c r="M110" s="174">
        <f t="shared" si="11"/>
        <v>437107.26</v>
      </c>
      <c r="N110" s="192">
        <v>0.5</v>
      </c>
      <c r="O110" s="193">
        <v>0</v>
      </c>
      <c r="P110" s="193">
        <v>0</v>
      </c>
      <c r="Q110" s="206">
        <v>0</v>
      </c>
      <c r="R110" s="178">
        <f t="shared" si="23"/>
        <v>437107.26</v>
      </c>
      <c r="S110" s="266"/>
      <c r="T110" s="266"/>
      <c r="U110" s="267"/>
      <c r="V110" s="180"/>
      <c r="W110" s="180"/>
      <c r="X110" s="180"/>
      <c r="Y110" s="31" t="b">
        <f t="shared" si="19"/>
        <v>1</v>
      </c>
      <c r="Z110" s="149">
        <f t="shared" si="20"/>
        <v>0.5</v>
      </c>
      <c r="AA110" s="150" t="b">
        <f t="shared" si="21"/>
        <v>1</v>
      </c>
      <c r="AB110" s="150" t="b">
        <f t="shared" si="22"/>
        <v>1</v>
      </c>
    </row>
    <row r="111" spans="1:28" s="202" customFormat="1" ht="37.5" customHeight="1">
      <c r="A111" s="249">
        <v>109</v>
      </c>
      <c r="B111" s="228">
        <v>38</v>
      </c>
      <c r="C111" s="227" t="s">
        <v>106</v>
      </c>
      <c r="D111" s="228" t="s">
        <v>530</v>
      </c>
      <c r="E111" s="250">
        <v>2014022</v>
      </c>
      <c r="F111" s="227" t="s">
        <v>61</v>
      </c>
      <c r="G111" s="230" t="s">
        <v>531</v>
      </c>
      <c r="H111" s="218" t="s">
        <v>50</v>
      </c>
      <c r="I111" s="231">
        <v>0.5</v>
      </c>
      <c r="J111" s="228" t="s">
        <v>423</v>
      </c>
      <c r="K111" s="174">
        <v>754550</v>
      </c>
      <c r="L111" s="205">
        <f>ROUNDDOWN(K111*N111,2)</f>
        <v>377275</v>
      </c>
      <c r="M111" s="174">
        <f>K111-L111</f>
        <v>377275</v>
      </c>
      <c r="N111" s="192">
        <v>0.5</v>
      </c>
      <c r="O111" s="193">
        <v>0</v>
      </c>
      <c r="P111" s="193">
        <v>0</v>
      </c>
      <c r="Q111" s="206">
        <v>0</v>
      </c>
      <c r="R111" s="178">
        <f t="shared" si="23"/>
        <v>377275</v>
      </c>
      <c r="S111" s="193"/>
      <c r="T111" s="193"/>
      <c r="U111" s="264"/>
      <c r="V111" s="180"/>
      <c r="W111" s="180"/>
      <c r="X111" s="180"/>
      <c r="Y111" s="31" t="b">
        <f t="shared" si="19"/>
        <v>1</v>
      </c>
      <c r="Z111" s="149">
        <f t="shared" si="20"/>
        <v>0.5</v>
      </c>
      <c r="AA111" s="150" t="b">
        <f t="shared" si="21"/>
        <v>1</v>
      </c>
      <c r="AB111" s="150" t="b">
        <f t="shared" si="22"/>
        <v>1</v>
      </c>
    </row>
    <row r="112" spans="1:28" s="202" customFormat="1" ht="37.5" customHeight="1">
      <c r="A112" s="249">
        <v>110</v>
      </c>
      <c r="B112" s="228">
        <v>3</v>
      </c>
      <c r="C112" s="227" t="s">
        <v>106</v>
      </c>
      <c r="D112" s="228" t="s">
        <v>532</v>
      </c>
      <c r="E112" s="250">
        <v>2012052</v>
      </c>
      <c r="F112" s="227" t="s">
        <v>57</v>
      </c>
      <c r="G112" s="230" t="s">
        <v>533</v>
      </c>
      <c r="H112" s="228" t="s">
        <v>75</v>
      </c>
      <c r="I112" s="231">
        <v>2.185</v>
      </c>
      <c r="J112" s="228" t="s">
        <v>534</v>
      </c>
      <c r="K112" s="174">
        <v>1348524.22</v>
      </c>
      <c r="L112" s="205">
        <f t="shared" si="16"/>
        <v>674262.11</v>
      </c>
      <c r="M112" s="174">
        <f t="shared" si="11"/>
        <v>674262.11</v>
      </c>
      <c r="N112" s="192">
        <v>0.5</v>
      </c>
      <c r="O112" s="193">
        <v>0</v>
      </c>
      <c r="P112" s="193">
        <v>0</v>
      </c>
      <c r="Q112" s="206">
        <v>0</v>
      </c>
      <c r="R112" s="178">
        <f t="shared" si="23"/>
        <v>674262.11</v>
      </c>
      <c r="S112" s="193"/>
      <c r="T112" s="193"/>
      <c r="U112" s="264"/>
      <c r="V112" s="180"/>
      <c r="W112" s="180"/>
      <c r="X112" s="180"/>
      <c r="Y112" s="31" t="b">
        <f t="shared" si="19"/>
        <v>1</v>
      </c>
      <c r="Z112" s="149">
        <f t="shared" si="20"/>
        <v>0.5</v>
      </c>
      <c r="AA112" s="150" t="b">
        <f t="shared" si="21"/>
        <v>1</v>
      </c>
      <c r="AB112" s="150" t="b">
        <f t="shared" si="22"/>
        <v>1</v>
      </c>
    </row>
    <row r="113" spans="1:28" s="202" customFormat="1" ht="37.5" customHeight="1">
      <c r="A113" s="249">
        <v>111</v>
      </c>
      <c r="B113" s="228">
        <v>209</v>
      </c>
      <c r="C113" s="227" t="s">
        <v>106</v>
      </c>
      <c r="D113" s="227" t="s">
        <v>535</v>
      </c>
      <c r="E113" s="250">
        <v>2010042</v>
      </c>
      <c r="F113" s="228" t="s">
        <v>63</v>
      </c>
      <c r="G113" s="234" t="s">
        <v>536</v>
      </c>
      <c r="H113" s="219" t="s">
        <v>50</v>
      </c>
      <c r="I113" s="231">
        <v>3.003</v>
      </c>
      <c r="J113" s="232" t="s">
        <v>537</v>
      </c>
      <c r="K113" s="174">
        <v>1950000</v>
      </c>
      <c r="L113" s="205">
        <f t="shared" si="16"/>
        <v>975000</v>
      </c>
      <c r="M113" s="174">
        <f t="shared" si="11"/>
        <v>975000</v>
      </c>
      <c r="N113" s="192">
        <v>0.5</v>
      </c>
      <c r="O113" s="193">
        <v>0</v>
      </c>
      <c r="P113" s="193">
        <v>0</v>
      </c>
      <c r="Q113" s="206">
        <v>0</v>
      </c>
      <c r="R113" s="193">
        <f t="shared" si="23"/>
        <v>975000</v>
      </c>
      <c r="S113" s="266"/>
      <c r="T113" s="266"/>
      <c r="U113" s="267"/>
      <c r="V113" s="180"/>
      <c r="W113" s="180"/>
      <c r="X113" s="180"/>
      <c r="Y113" s="31" t="b">
        <f t="shared" si="19"/>
        <v>1</v>
      </c>
      <c r="Z113" s="149">
        <f t="shared" si="20"/>
        <v>0.5</v>
      </c>
      <c r="AA113" s="150" t="b">
        <f t="shared" si="21"/>
        <v>1</v>
      </c>
      <c r="AB113" s="150" t="b">
        <f t="shared" si="22"/>
        <v>1</v>
      </c>
    </row>
    <row r="114" spans="1:28" s="202" customFormat="1" ht="37.5" customHeight="1">
      <c r="A114" s="249">
        <v>112</v>
      </c>
      <c r="B114" s="228">
        <v>192</v>
      </c>
      <c r="C114" s="227" t="s">
        <v>106</v>
      </c>
      <c r="D114" s="227" t="s">
        <v>538</v>
      </c>
      <c r="E114" s="250">
        <v>2007013</v>
      </c>
      <c r="F114" s="228" t="s">
        <v>62</v>
      </c>
      <c r="G114" s="234" t="s">
        <v>539</v>
      </c>
      <c r="H114" s="219" t="s">
        <v>50</v>
      </c>
      <c r="I114" s="231">
        <v>0.198</v>
      </c>
      <c r="J114" s="232" t="s">
        <v>540</v>
      </c>
      <c r="K114" s="174">
        <v>269205.88</v>
      </c>
      <c r="L114" s="205">
        <f t="shared" si="16"/>
        <v>134602.94</v>
      </c>
      <c r="M114" s="174">
        <f t="shared" si="11"/>
        <v>134602.94</v>
      </c>
      <c r="N114" s="192">
        <v>0.5</v>
      </c>
      <c r="O114" s="193">
        <v>0</v>
      </c>
      <c r="P114" s="193">
        <v>0</v>
      </c>
      <c r="Q114" s="206">
        <v>0</v>
      </c>
      <c r="R114" s="193">
        <f t="shared" si="23"/>
        <v>134602.94</v>
      </c>
      <c r="S114" s="266"/>
      <c r="T114" s="266"/>
      <c r="U114" s="267"/>
      <c r="V114" s="180"/>
      <c r="W114" s="180"/>
      <c r="X114" s="180"/>
      <c r="Y114" s="31" t="b">
        <f t="shared" si="19"/>
        <v>1</v>
      </c>
      <c r="Z114" s="149">
        <f t="shared" si="20"/>
        <v>0.5</v>
      </c>
      <c r="AA114" s="150" t="b">
        <f t="shared" si="21"/>
        <v>1</v>
      </c>
      <c r="AB114" s="150" t="b">
        <f t="shared" si="22"/>
        <v>1</v>
      </c>
    </row>
    <row r="115" spans="1:28" s="202" customFormat="1" ht="37.5" customHeight="1">
      <c r="A115" s="249">
        <v>113</v>
      </c>
      <c r="B115" s="227">
        <v>416</v>
      </c>
      <c r="C115" s="227" t="s">
        <v>106</v>
      </c>
      <c r="D115" s="227" t="s">
        <v>541</v>
      </c>
      <c r="E115" s="250">
        <v>2006062</v>
      </c>
      <c r="F115" s="227" t="s">
        <v>147</v>
      </c>
      <c r="G115" s="234" t="s">
        <v>542</v>
      </c>
      <c r="H115" s="219" t="s">
        <v>49</v>
      </c>
      <c r="I115" s="231">
        <v>1.05</v>
      </c>
      <c r="J115" s="232" t="s">
        <v>307</v>
      </c>
      <c r="K115" s="174">
        <v>1420500</v>
      </c>
      <c r="L115" s="205">
        <f t="shared" si="16"/>
        <v>710250</v>
      </c>
      <c r="M115" s="174">
        <f t="shared" si="11"/>
        <v>710250</v>
      </c>
      <c r="N115" s="192">
        <v>0.5</v>
      </c>
      <c r="O115" s="193">
        <v>0</v>
      </c>
      <c r="P115" s="193">
        <v>0</v>
      </c>
      <c r="Q115" s="206">
        <v>0</v>
      </c>
      <c r="R115" s="193">
        <f t="shared" si="23"/>
        <v>710250</v>
      </c>
      <c r="S115" s="266"/>
      <c r="T115" s="266"/>
      <c r="U115" s="267"/>
      <c r="V115" s="180"/>
      <c r="W115" s="180"/>
      <c r="X115" s="180"/>
      <c r="Y115" s="31" t="b">
        <f t="shared" si="19"/>
        <v>1</v>
      </c>
      <c r="Z115" s="149">
        <f t="shared" si="20"/>
        <v>0.5</v>
      </c>
      <c r="AA115" s="150" t="b">
        <f t="shared" si="21"/>
        <v>1</v>
      </c>
      <c r="AB115" s="150" t="b">
        <f t="shared" si="22"/>
        <v>1</v>
      </c>
    </row>
    <row r="116" spans="1:28" s="202" customFormat="1" ht="37.5" customHeight="1">
      <c r="A116" s="249">
        <v>114</v>
      </c>
      <c r="B116" s="227">
        <v>417</v>
      </c>
      <c r="C116" s="227" t="s">
        <v>106</v>
      </c>
      <c r="D116" s="227" t="s">
        <v>541</v>
      </c>
      <c r="E116" s="250">
        <v>2006062</v>
      </c>
      <c r="F116" s="227" t="s">
        <v>147</v>
      </c>
      <c r="G116" s="234" t="s">
        <v>543</v>
      </c>
      <c r="H116" s="219" t="s">
        <v>47</v>
      </c>
      <c r="I116" s="231">
        <v>2.002</v>
      </c>
      <c r="J116" s="232" t="s">
        <v>307</v>
      </c>
      <c r="K116" s="174">
        <v>2612500</v>
      </c>
      <c r="L116" s="205">
        <f t="shared" si="16"/>
        <v>1306250</v>
      </c>
      <c r="M116" s="174">
        <f t="shared" si="11"/>
        <v>1306250</v>
      </c>
      <c r="N116" s="192">
        <v>0.5</v>
      </c>
      <c r="O116" s="193">
        <v>0</v>
      </c>
      <c r="P116" s="193">
        <v>0</v>
      </c>
      <c r="Q116" s="206">
        <v>0</v>
      </c>
      <c r="R116" s="193">
        <f t="shared" si="23"/>
        <v>1306250</v>
      </c>
      <c r="S116" s="266"/>
      <c r="T116" s="266"/>
      <c r="U116" s="267"/>
      <c r="V116" s="180"/>
      <c r="W116" s="180"/>
      <c r="X116" s="180"/>
      <c r="Y116" s="31" t="b">
        <f t="shared" si="19"/>
        <v>1</v>
      </c>
      <c r="Z116" s="149">
        <f t="shared" si="20"/>
        <v>0.5</v>
      </c>
      <c r="AA116" s="150" t="b">
        <f t="shared" si="21"/>
        <v>1</v>
      </c>
      <c r="AB116" s="150" t="b">
        <f t="shared" si="22"/>
        <v>1</v>
      </c>
    </row>
    <row r="117" spans="1:256" s="277" customFormat="1" ht="37.5" customHeight="1">
      <c r="A117" s="228">
        <v>115</v>
      </c>
      <c r="B117" s="228">
        <v>297</v>
      </c>
      <c r="C117" s="227" t="s">
        <v>106</v>
      </c>
      <c r="D117" s="227" t="s">
        <v>408</v>
      </c>
      <c r="E117" s="250">
        <v>2002063</v>
      </c>
      <c r="F117" s="227" t="s">
        <v>52</v>
      </c>
      <c r="G117" s="234" t="s">
        <v>629</v>
      </c>
      <c r="H117" s="219" t="s">
        <v>47</v>
      </c>
      <c r="I117" s="235">
        <v>0.334</v>
      </c>
      <c r="J117" s="236" t="s">
        <v>463</v>
      </c>
      <c r="K117" s="244">
        <v>798803.94</v>
      </c>
      <c r="L117" s="205">
        <f aca="true" t="shared" si="24" ref="L117:L122">ROUNDDOWN(K117*N117,2)</f>
        <v>479282.36</v>
      </c>
      <c r="M117" s="174">
        <f aca="true" t="shared" si="25" ref="M117:M122">K117-L117</f>
        <v>319521.57999999996</v>
      </c>
      <c r="N117" s="192">
        <v>0.6</v>
      </c>
      <c r="O117" s="193">
        <v>0</v>
      </c>
      <c r="P117" s="193">
        <v>0</v>
      </c>
      <c r="Q117" s="206">
        <v>0</v>
      </c>
      <c r="R117" s="178">
        <f aca="true" t="shared" si="26" ref="R117:R122">L117</f>
        <v>479282.36</v>
      </c>
      <c r="S117" s="266"/>
      <c r="T117" s="266"/>
      <c r="U117" s="267"/>
      <c r="V117" s="265"/>
      <c r="W117" s="265"/>
      <c r="X117" s="265"/>
      <c r="Y117" s="31" t="b">
        <f>L123=SUM(O123:X123)</f>
        <v>1</v>
      </c>
      <c r="Z117" s="149">
        <f t="shared" si="20"/>
        <v>0.6</v>
      </c>
      <c r="AA117" s="150" t="b">
        <f t="shared" si="21"/>
        <v>1</v>
      </c>
      <c r="AB117" s="150" t="b">
        <f>K123=L123+M123</f>
        <v>1</v>
      </c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  <c r="FI117" s="20"/>
      <c r="FJ117" s="20"/>
      <c r="FK117" s="20"/>
      <c r="FL117" s="20"/>
      <c r="FM117" s="20"/>
      <c r="FN117" s="20"/>
      <c r="FO117" s="20"/>
      <c r="FP117" s="20"/>
      <c r="FQ117" s="20"/>
      <c r="FR117" s="20"/>
      <c r="FS117" s="20"/>
      <c r="FT117" s="20"/>
      <c r="FU117" s="20"/>
      <c r="FV117" s="20"/>
      <c r="FW117" s="20"/>
      <c r="FX117" s="20"/>
      <c r="FY117" s="20"/>
      <c r="FZ117" s="20"/>
      <c r="GA117" s="20"/>
      <c r="GB117" s="20"/>
      <c r="GC117" s="20"/>
      <c r="GD117" s="20"/>
      <c r="GE117" s="20"/>
      <c r="GF117" s="20"/>
      <c r="GG117" s="20"/>
      <c r="GH117" s="20"/>
      <c r="GI117" s="20"/>
      <c r="GJ117" s="20"/>
      <c r="GK117" s="20"/>
      <c r="GL117" s="20"/>
      <c r="GM117" s="20"/>
      <c r="GN117" s="20"/>
      <c r="GO117" s="20"/>
      <c r="GP117" s="20"/>
      <c r="GQ117" s="20"/>
      <c r="GR117" s="20"/>
      <c r="GS117" s="20"/>
      <c r="GT117" s="20"/>
      <c r="GU117" s="20"/>
      <c r="GV117" s="20"/>
      <c r="GW117" s="20"/>
      <c r="GX117" s="20"/>
      <c r="GY117" s="20"/>
      <c r="GZ117" s="20"/>
      <c r="HA117" s="20"/>
      <c r="HB117" s="20"/>
      <c r="HC117" s="20"/>
      <c r="HD117" s="20"/>
      <c r="HE117" s="20"/>
      <c r="HF117" s="20"/>
      <c r="HG117" s="20"/>
      <c r="HH117" s="20"/>
      <c r="HI117" s="20"/>
      <c r="HJ117" s="20"/>
      <c r="HK117" s="20"/>
      <c r="HL117" s="20"/>
      <c r="HM117" s="20"/>
      <c r="HN117" s="20"/>
      <c r="HO117" s="20"/>
      <c r="HP117" s="20"/>
      <c r="HQ117" s="20"/>
      <c r="HR117" s="20"/>
      <c r="HS117" s="20"/>
      <c r="HT117" s="20"/>
      <c r="HU117" s="20"/>
      <c r="HV117" s="20"/>
      <c r="HW117" s="20"/>
      <c r="HX117" s="20"/>
      <c r="HY117" s="20"/>
      <c r="HZ117" s="20"/>
      <c r="IA117" s="20"/>
      <c r="IB117" s="20"/>
      <c r="IC117" s="20"/>
      <c r="ID117" s="20"/>
      <c r="IE117" s="20"/>
      <c r="IF117" s="20"/>
      <c r="IG117" s="20"/>
      <c r="IH117" s="20"/>
      <c r="II117" s="20"/>
      <c r="IJ117" s="20"/>
      <c r="IK117" s="20"/>
      <c r="IL117" s="20"/>
      <c r="IM117" s="20"/>
      <c r="IN117" s="20"/>
      <c r="IO117" s="20"/>
      <c r="IP117" s="20"/>
      <c r="IQ117" s="20"/>
      <c r="IR117" s="20"/>
      <c r="IS117" s="20"/>
      <c r="IT117" s="20"/>
      <c r="IU117" s="20"/>
      <c r="IV117" s="20"/>
    </row>
    <row r="118" spans="1:28" s="20" customFormat="1" ht="36.75" customHeight="1">
      <c r="A118" s="228">
        <v>116</v>
      </c>
      <c r="B118" s="228">
        <v>15</v>
      </c>
      <c r="C118" s="227" t="s">
        <v>106</v>
      </c>
      <c r="D118" s="228" t="s">
        <v>547</v>
      </c>
      <c r="E118" s="250">
        <v>2011062</v>
      </c>
      <c r="F118" s="227" t="s">
        <v>53</v>
      </c>
      <c r="G118" s="230" t="s">
        <v>548</v>
      </c>
      <c r="H118" s="218" t="s">
        <v>50</v>
      </c>
      <c r="I118" s="231">
        <v>2.261</v>
      </c>
      <c r="J118" s="228" t="s">
        <v>411</v>
      </c>
      <c r="K118" s="174">
        <v>3631974.44</v>
      </c>
      <c r="L118" s="205">
        <f t="shared" si="24"/>
        <v>1815987.22</v>
      </c>
      <c r="M118" s="174">
        <f t="shared" si="25"/>
        <v>1815987.22</v>
      </c>
      <c r="N118" s="192">
        <v>0.5</v>
      </c>
      <c r="O118" s="193">
        <v>0</v>
      </c>
      <c r="P118" s="193">
        <v>0</v>
      </c>
      <c r="Q118" s="206">
        <v>0</v>
      </c>
      <c r="R118" s="193">
        <f t="shared" si="26"/>
        <v>1815987.22</v>
      </c>
      <c r="S118" s="193"/>
      <c r="T118" s="193"/>
      <c r="U118" s="264"/>
      <c r="V118" s="265"/>
      <c r="W118" s="265"/>
      <c r="X118" s="265"/>
      <c r="Y118" s="31" t="b">
        <f>L118=SUM(O118:X118)</f>
        <v>1</v>
      </c>
      <c r="Z118" s="149">
        <f>ROUND(L118/K118,4)</f>
        <v>0.5</v>
      </c>
      <c r="AA118" s="150" t="b">
        <f>Z118=N118</f>
        <v>1</v>
      </c>
      <c r="AB118" s="150" t="b">
        <f>K118=L118+M118</f>
        <v>1</v>
      </c>
    </row>
    <row r="119" spans="1:28" s="20" customFormat="1" ht="36.75" customHeight="1">
      <c r="A119" s="228">
        <v>117</v>
      </c>
      <c r="B119" s="228"/>
      <c r="C119" s="227" t="s">
        <v>106</v>
      </c>
      <c r="D119" s="228" t="s">
        <v>720</v>
      </c>
      <c r="E119" s="250" t="s">
        <v>721</v>
      </c>
      <c r="F119" s="227" t="s">
        <v>155</v>
      </c>
      <c r="G119" s="230" t="s">
        <v>719</v>
      </c>
      <c r="H119" s="218" t="s">
        <v>50</v>
      </c>
      <c r="I119" s="231">
        <v>0.995</v>
      </c>
      <c r="J119" s="228" t="s">
        <v>419</v>
      </c>
      <c r="K119" s="174">
        <v>931500</v>
      </c>
      <c r="L119" s="205">
        <f t="shared" si="24"/>
        <v>465750</v>
      </c>
      <c r="M119" s="174">
        <f t="shared" si="25"/>
        <v>465750</v>
      </c>
      <c r="N119" s="192">
        <v>0.5</v>
      </c>
      <c r="O119" s="193">
        <v>0</v>
      </c>
      <c r="P119" s="193">
        <v>0</v>
      </c>
      <c r="Q119" s="206">
        <v>0</v>
      </c>
      <c r="R119" s="193">
        <f t="shared" si="26"/>
        <v>465750</v>
      </c>
      <c r="S119" s="193"/>
      <c r="T119" s="193"/>
      <c r="U119" s="264"/>
      <c r="V119" s="265"/>
      <c r="W119" s="265"/>
      <c r="X119" s="265"/>
      <c r="Y119" s="31" t="b">
        <f>L119=SUM(O119:X119)</f>
        <v>1</v>
      </c>
      <c r="Z119" s="149">
        <f>ROUND(L119/K119,4)</f>
        <v>0.5</v>
      </c>
      <c r="AA119" s="150" t="b">
        <f>Z119=N119</f>
        <v>1</v>
      </c>
      <c r="AB119" s="150" t="b">
        <f>K119=L119+M119</f>
        <v>1</v>
      </c>
    </row>
    <row r="120" spans="1:28" s="20" customFormat="1" ht="36.75" customHeight="1">
      <c r="A120" s="228">
        <v>118</v>
      </c>
      <c r="B120" s="228"/>
      <c r="C120" s="227" t="s">
        <v>106</v>
      </c>
      <c r="D120" s="228" t="s">
        <v>720</v>
      </c>
      <c r="E120" s="250" t="s">
        <v>721</v>
      </c>
      <c r="F120" s="227" t="s">
        <v>155</v>
      </c>
      <c r="G120" s="230" t="s">
        <v>722</v>
      </c>
      <c r="H120" s="218" t="s">
        <v>50</v>
      </c>
      <c r="I120" s="231">
        <v>0.995</v>
      </c>
      <c r="J120" s="228" t="s">
        <v>419</v>
      </c>
      <c r="K120" s="174">
        <v>986500</v>
      </c>
      <c r="L120" s="205">
        <f t="shared" si="24"/>
        <v>493250</v>
      </c>
      <c r="M120" s="174">
        <f t="shared" si="25"/>
        <v>493250</v>
      </c>
      <c r="N120" s="192">
        <v>0.5</v>
      </c>
      <c r="O120" s="193">
        <v>0</v>
      </c>
      <c r="P120" s="193">
        <v>0</v>
      </c>
      <c r="Q120" s="206">
        <v>0</v>
      </c>
      <c r="R120" s="193">
        <f t="shared" si="26"/>
        <v>493250</v>
      </c>
      <c r="S120" s="193"/>
      <c r="T120" s="193"/>
      <c r="U120" s="264"/>
      <c r="V120" s="265"/>
      <c r="W120" s="265"/>
      <c r="X120" s="265"/>
      <c r="Y120" s="31" t="b">
        <f>L120=SUM(O120:X120)</f>
        <v>1</v>
      </c>
      <c r="Z120" s="149">
        <f>ROUND(L120/K120,4)</f>
        <v>0.5</v>
      </c>
      <c r="AA120" s="150" t="b">
        <f>Z120=N120</f>
        <v>1</v>
      </c>
      <c r="AB120" s="150" t="b">
        <f>K120=L120+M120</f>
        <v>1</v>
      </c>
    </row>
    <row r="121" spans="1:28" s="20" customFormat="1" ht="36.75" customHeight="1">
      <c r="A121" s="228">
        <v>119</v>
      </c>
      <c r="B121" s="227">
        <v>148</v>
      </c>
      <c r="C121" s="227" t="s">
        <v>106</v>
      </c>
      <c r="D121" s="227" t="s">
        <v>60</v>
      </c>
      <c r="E121" s="250">
        <v>2002133</v>
      </c>
      <c r="F121" s="227" t="s">
        <v>52</v>
      </c>
      <c r="G121" s="234" t="s">
        <v>570</v>
      </c>
      <c r="H121" s="219" t="s">
        <v>50</v>
      </c>
      <c r="I121" s="235">
        <v>1.078</v>
      </c>
      <c r="J121" s="232" t="s">
        <v>416</v>
      </c>
      <c r="K121" s="174">
        <v>3551500</v>
      </c>
      <c r="L121" s="205">
        <f t="shared" si="24"/>
        <v>1775750</v>
      </c>
      <c r="M121" s="174">
        <f t="shared" si="25"/>
        <v>1775750</v>
      </c>
      <c r="N121" s="192">
        <v>0.5</v>
      </c>
      <c r="O121" s="193">
        <v>0</v>
      </c>
      <c r="P121" s="193">
        <v>0</v>
      </c>
      <c r="Q121" s="206">
        <v>0</v>
      </c>
      <c r="R121" s="193">
        <f t="shared" si="26"/>
        <v>1775750</v>
      </c>
      <c r="S121" s="266"/>
      <c r="T121" s="266"/>
      <c r="U121" s="267"/>
      <c r="V121" s="265"/>
      <c r="W121" s="265"/>
      <c r="X121" s="265"/>
      <c r="Y121" s="31" t="b">
        <f>L121=SUM(O121:X121)</f>
        <v>1</v>
      </c>
      <c r="Z121" s="149">
        <f>ROUND(L121/K121,4)</f>
        <v>0.5</v>
      </c>
      <c r="AA121" s="150" t="b">
        <f>Z121=N121</f>
        <v>1</v>
      </c>
      <c r="AB121" s="150" t="b">
        <f>K121=L121+M121</f>
        <v>1</v>
      </c>
    </row>
    <row r="122" spans="1:28" s="20" customFormat="1" ht="36.75" customHeight="1">
      <c r="A122" s="228">
        <v>120</v>
      </c>
      <c r="B122" s="228">
        <v>152</v>
      </c>
      <c r="C122" s="227" t="s">
        <v>106</v>
      </c>
      <c r="D122" s="227" t="s">
        <v>60</v>
      </c>
      <c r="E122" s="250">
        <v>2002133</v>
      </c>
      <c r="F122" s="227" t="s">
        <v>52</v>
      </c>
      <c r="G122" s="234" t="s">
        <v>611</v>
      </c>
      <c r="H122" s="219" t="s">
        <v>50</v>
      </c>
      <c r="I122" s="235">
        <v>0.327</v>
      </c>
      <c r="J122" s="236" t="s">
        <v>416</v>
      </c>
      <c r="K122" s="174">
        <v>1536000</v>
      </c>
      <c r="L122" s="205">
        <f t="shared" si="24"/>
        <v>768000</v>
      </c>
      <c r="M122" s="174">
        <f t="shared" si="25"/>
        <v>768000</v>
      </c>
      <c r="N122" s="192">
        <v>0.5</v>
      </c>
      <c r="O122" s="193">
        <v>0</v>
      </c>
      <c r="P122" s="193">
        <v>0</v>
      </c>
      <c r="Q122" s="206">
        <v>0</v>
      </c>
      <c r="R122" s="178">
        <f t="shared" si="26"/>
        <v>768000</v>
      </c>
      <c r="S122" s="266"/>
      <c r="T122" s="266"/>
      <c r="U122" s="267"/>
      <c r="V122" s="265"/>
      <c r="W122" s="265"/>
      <c r="X122" s="265"/>
      <c r="Y122" s="31" t="b">
        <f>L122=SUM(O122:X122)</f>
        <v>1</v>
      </c>
      <c r="Z122" s="149">
        <f>ROUND(L122/K122,4)</f>
        <v>0.5</v>
      </c>
      <c r="AA122" s="150" t="b">
        <f>Z122=N122</f>
        <v>1</v>
      </c>
      <c r="AB122" s="150" t="b">
        <f>K122=L122+M122</f>
        <v>1</v>
      </c>
    </row>
    <row r="123" spans="1:28" ht="19.5" customHeight="1">
      <c r="A123" s="249" t="s">
        <v>725</v>
      </c>
      <c r="B123" s="227">
        <v>238</v>
      </c>
      <c r="C123" s="227" t="s">
        <v>106</v>
      </c>
      <c r="D123" s="227" t="s">
        <v>544</v>
      </c>
      <c r="E123" s="250">
        <v>2004032</v>
      </c>
      <c r="F123" s="227" t="s">
        <v>54</v>
      </c>
      <c r="G123" s="234" t="s">
        <v>545</v>
      </c>
      <c r="H123" s="219" t="s">
        <v>49</v>
      </c>
      <c r="I123" s="231">
        <v>0.245</v>
      </c>
      <c r="J123" s="232" t="s">
        <v>546</v>
      </c>
      <c r="K123" s="174">
        <v>577073</v>
      </c>
      <c r="L123" s="205">
        <f>ROUNDDOWN(K123*N123,2)-74092.39</f>
        <v>214444.11</v>
      </c>
      <c r="M123" s="174">
        <f t="shared" si="11"/>
        <v>362628.89</v>
      </c>
      <c r="N123" s="192">
        <v>0.5</v>
      </c>
      <c r="O123" s="193">
        <v>0</v>
      </c>
      <c r="P123" s="193">
        <v>0</v>
      </c>
      <c r="Q123" s="206">
        <v>0</v>
      </c>
      <c r="R123" s="193">
        <f t="shared" si="23"/>
        <v>214444.11</v>
      </c>
      <c r="S123" s="266"/>
      <c r="T123" s="266"/>
      <c r="U123" s="267"/>
      <c r="V123" s="180"/>
      <c r="W123" s="180"/>
      <c r="X123" s="180"/>
      <c r="Y123" s="31" t="b">
        <f>L123=SUM(O123:X123)</f>
        <v>1</v>
      </c>
      <c r="Z123" s="149">
        <f>ROUND(L123/K123,4)</f>
        <v>0.3716</v>
      </c>
      <c r="AA123" s="150" t="b">
        <f>Z123=N123</f>
        <v>0</v>
      </c>
      <c r="AB123" s="150" t="b">
        <f>K123=L123+M123</f>
        <v>1</v>
      </c>
    </row>
    <row r="124" spans="1:28" ht="19.5" customHeight="1">
      <c r="A124" s="326" t="s">
        <v>44</v>
      </c>
      <c r="B124" s="327"/>
      <c r="C124" s="327"/>
      <c r="D124" s="327"/>
      <c r="E124" s="327"/>
      <c r="F124" s="327"/>
      <c r="G124" s="327"/>
      <c r="H124" s="328"/>
      <c r="I124" s="210">
        <f>SUM(I3:I123)</f>
        <v>133.59551</v>
      </c>
      <c r="J124" s="211" t="s">
        <v>14</v>
      </c>
      <c r="K124" s="207">
        <f>SUM(K3:K123)</f>
        <v>277424492.3500001</v>
      </c>
      <c r="L124" s="207">
        <f>SUM(L3:L123)</f>
        <v>147797542.44600007</v>
      </c>
      <c r="M124" s="207">
        <f>SUM(M3:M123)</f>
        <v>129626949.90400003</v>
      </c>
      <c r="N124" s="212" t="s">
        <v>14</v>
      </c>
      <c r="O124" s="207">
        <f aca="true" t="shared" si="27" ref="O124:X124">SUM(O3:O123)</f>
        <v>0</v>
      </c>
      <c r="P124" s="207">
        <f t="shared" si="27"/>
        <v>11520616.060000002</v>
      </c>
      <c r="Q124" s="207">
        <f t="shared" si="27"/>
        <v>18963062.286000002</v>
      </c>
      <c r="R124" s="207">
        <f t="shared" si="27"/>
        <v>83853969.12500001</v>
      </c>
      <c r="S124" s="207">
        <f t="shared" si="27"/>
        <v>30064111.745</v>
      </c>
      <c r="T124" s="207">
        <f t="shared" si="27"/>
        <v>3395783.23</v>
      </c>
      <c r="U124" s="207">
        <f t="shared" si="27"/>
        <v>0</v>
      </c>
      <c r="V124" s="207">
        <f t="shared" si="27"/>
        <v>0</v>
      </c>
      <c r="W124" s="207">
        <f t="shared" si="27"/>
        <v>0</v>
      </c>
      <c r="X124" s="207">
        <f t="shared" si="27"/>
        <v>0</v>
      </c>
      <c r="Y124" s="144" t="b">
        <f>L125=SUM(O125:X125)</f>
        <v>1</v>
      </c>
      <c r="Z124" s="215">
        <f>ROUND(L125/K125,4)</f>
        <v>0.5489</v>
      </c>
      <c r="AA124" s="216" t="s">
        <v>14</v>
      </c>
      <c r="AB124" s="216" t="b">
        <f>K125=L125+M125</f>
        <v>1</v>
      </c>
    </row>
    <row r="125" spans="1:28" ht="19.5" customHeight="1">
      <c r="A125" s="323" t="s">
        <v>38</v>
      </c>
      <c r="B125" s="324"/>
      <c r="C125" s="324"/>
      <c r="D125" s="324"/>
      <c r="E125" s="324"/>
      <c r="F125" s="324"/>
      <c r="G125" s="324"/>
      <c r="H125" s="325"/>
      <c r="I125" s="139">
        <f>SUMIF($C$3:$C$123,"K",I3:I123)</f>
        <v>40.99781</v>
      </c>
      <c r="J125" s="140" t="s">
        <v>14</v>
      </c>
      <c r="K125" s="36">
        <f>SUMIF($C$3:$C$123,"K",K3:K123)</f>
        <v>101785872.13999996</v>
      </c>
      <c r="L125" s="36">
        <f>SUMIF($C$3:$C$123,"K",L3:L123)</f>
        <v>55866121.536</v>
      </c>
      <c r="M125" s="36">
        <f>SUMIF($C$3:$C$123,"K",M3:M123)</f>
        <v>45919750.603999995</v>
      </c>
      <c r="N125" s="141" t="s">
        <v>14</v>
      </c>
      <c r="O125" s="36">
        <f aca="true" t="shared" si="28" ref="O125:X125">SUMIF($C$3:$C$123,"K",O3:O123)</f>
        <v>0</v>
      </c>
      <c r="P125" s="36">
        <f t="shared" si="28"/>
        <v>11520616.060000002</v>
      </c>
      <c r="Q125" s="36">
        <f t="shared" si="28"/>
        <v>18963062.286000002</v>
      </c>
      <c r="R125" s="36">
        <f t="shared" si="28"/>
        <v>18937781.819999997</v>
      </c>
      <c r="S125" s="36">
        <f t="shared" si="28"/>
        <v>6202054.14</v>
      </c>
      <c r="T125" s="36">
        <f t="shared" si="28"/>
        <v>242607.23</v>
      </c>
      <c r="U125" s="36">
        <f t="shared" si="28"/>
        <v>0</v>
      </c>
      <c r="V125" s="36">
        <f t="shared" si="28"/>
        <v>0</v>
      </c>
      <c r="W125" s="36">
        <f t="shared" si="28"/>
        <v>0</v>
      </c>
      <c r="X125" s="36">
        <f t="shared" si="28"/>
        <v>0</v>
      </c>
      <c r="Y125" s="144" t="b">
        <f>L126=SUM(O126:X126)</f>
        <v>1</v>
      </c>
      <c r="Z125" s="215">
        <f>ROUND(L126/K126,4)</f>
        <v>0.5033</v>
      </c>
      <c r="AA125" s="216" t="s">
        <v>14</v>
      </c>
      <c r="AB125" s="216" t="b">
        <f>K126=L126+M126</f>
        <v>1</v>
      </c>
    </row>
    <row r="126" spans="1:28" ht="19.5" customHeight="1">
      <c r="A126" s="323" t="s">
        <v>39</v>
      </c>
      <c r="B126" s="324"/>
      <c r="C126" s="324"/>
      <c r="D126" s="324"/>
      <c r="E126" s="324"/>
      <c r="F126" s="324"/>
      <c r="G126" s="324"/>
      <c r="H126" s="325"/>
      <c r="I126" s="139">
        <f>SUMIF($C$3:$C$123,"N",I3:I123)</f>
        <v>68.45070000000001</v>
      </c>
      <c r="J126" s="140" t="s">
        <v>14</v>
      </c>
      <c r="K126" s="36">
        <f>SUMIF($C$3:$C$123,"N",K3:K123)</f>
        <v>103713593.93999998</v>
      </c>
      <c r="L126" s="36">
        <f>SUMIF($C$3:$C$123,"N",L3:L123)</f>
        <v>52193965.929999985</v>
      </c>
      <c r="M126" s="36">
        <f>SUMIF($C$3:$C$123,"N",M3:M123)</f>
        <v>51519628.00999998</v>
      </c>
      <c r="N126" s="141" t="s">
        <v>14</v>
      </c>
      <c r="O126" s="36">
        <f aca="true" t="shared" si="29" ref="O126:X126">SUMIF($C$3:$C$123,"N",O3:O123)</f>
        <v>0</v>
      </c>
      <c r="P126" s="36">
        <f t="shared" si="29"/>
        <v>0</v>
      </c>
      <c r="Q126" s="36">
        <f t="shared" si="29"/>
        <v>0</v>
      </c>
      <c r="R126" s="36">
        <f t="shared" si="29"/>
        <v>52193965.929999985</v>
      </c>
      <c r="S126" s="36">
        <f t="shared" si="29"/>
        <v>0</v>
      </c>
      <c r="T126" s="36">
        <f t="shared" si="29"/>
        <v>0</v>
      </c>
      <c r="U126" s="36">
        <f t="shared" si="29"/>
        <v>0</v>
      </c>
      <c r="V126" s="36">
        <f t="shared" si="29"/>
        <v>0</v>
      </c>
      <c r="W126" s="36">
        <f t="shared" si="29"/>
        <v>0</v>
      </c>
      <c r="X126" s="36">
        <f t="shared" si="29"/>
        <v>0</v>
      </c>
      <c r="Y126" s="144" t="b">
        <f>L127=SUM(O127:X127)</f>
        <v>1</v>
      </c>
      <c r="Z126" s="215">
        <f>ROUND(L127/K127,4)</f>
        <v>0.5525</v>
      </c>
      <c r="AA126" s="216" t="s">
        <v>14</v>
      </c>
      <c r="AB126" s="216" t="b">
        <f>K127=L127+M127</f>
        <v>1</v>
      </c>
    </row>
    <row r="127" spans="1:28" ht="15">
      <c r="A127" s="320" t="s">
        <v>40</v>
      </c>
      <c r="B127" s="321"/>
      <c r="C127" s="321"/>
      <c r="D127" s="321"/>
      <c r="E127" s="321"/>
      <c r="F127" s="321"/>
      <c r="G127" s="321"/>
      <c r="H127" s="322"/>
      <c r="I127" s="142">
        <f>SUMIF($C$3:$C$123,"W",I3:I123)</f>
        <v>24.147000000000006</v>
      </c>
      <c r="J127" s="281" t="s">
        <v>14</v>
      </c>
      <c r="K127" s="37">
        <f>SUMIF($C$3:$C$123,"W",K3:K123)</f>
        <v>71925026.27</v>
      </c>
      <c r="L127" s="37">
        <f>SUMIF($C$3:$C$123,"W",L3:L123)</f>
        <v>39737454.98</v>
      </c>
      <c r="M127" s="37">
        <f>SUMIF($C$3:$C$123,"W",M3:M123)</f>
        <v>32187571.290000003</v>
      </c>
      <c r="N127" s="143" t="s">
        <v>14</v>
      </c>
      <c r="O127" s="37">
        <f aca="true" t="shared" si="30" ref="O127:X127">SUMIF($C$3:$C$123,"W",O3:O123)</f>
        <v>0</v>
      </c>
      <c r="P127" s="37">
        <f t="shared" si="30"/>
        <v>0</v>
      </c>
      <c r="Q127" s="37">
        <f t="shared" si="30"/>
        <v>0</v>
      </c>
      <c r="R127" s="37">
        <f t="shared" si="30"/>
        <v>12722221.375</v>
      </c>
      <c r="S127" s="37">
        <f t="shared" si="30"/>
        <v>23862057.605</v>
      </c>
      <c r="T127" s="37">
        <f t="shared" si="30"/>
        <v>3153176</v>
      </c>
      <c r="U127" s="37">
        <f t="shared" si="30"/>
        <v>0</v>
      </c>
      <c r="V127" s="37">
        <f t="shared" si="30"/>
        <v>0</v>
      </c>
      <c r="W127" s="37">
        <f t="shared" si="30"/>
        <v>0</v>
      </c>
      <c r="X127" s="37">
        <f t="shared" si="30"/>
        <v>0</v>
      </c>
      <c r="Y127" s="27"/>
      <c r="Z127" s="27"/>
      <c r="AA127" s="27"/>
      <c r="AB127" s="4"/>
    </row>
    <row r="128" spans="1:24" ht="15">
      <c r="A128" s="22"/>
      <c r="B128" s="4"/>
      <c r="C128" s="4"/>
      <c r="D128" s="4"/>
      <c r="E128" s="4"/>
      <c r="F128" s="4"/>
      <c r="G128" s="4"/>
      <c r="H128" s="4"/>
      <c r="I128" s="4"/>
      <c r="J128" s="4"/>
      <c r="K128" s="5"/>
      <c r="L128" s="57"/>
      <c r="M128" s="57"/>
      <c r="N128" s="144"/>
      <c r="O128" s="241"/>
      <c r="P128" s="241"/>
      <c r="Q128" s="241"/>
      <c r="R128" s="241"/>
      <c r="S128" s="241"/>
      <c r="T128" s="241"/>
      <c r="U128" s="241"/>
      <c r="V128" s="241"/>
      <c r="W128" s="241"/>
      <c r="X128" s="241"/>
    </row>
    <row r="129" spans="1:24" ht="15">
      <c r="A129" s="23" t="s">
        <v>25</v>
      </c>
      <c r="B129" s="4"/>
      <c r="C129" s="4"/>
      <c r="D129" s="4"/>
      <c r="E129" s="4"/>
      <c r="F129" s="4"/>
      <c r="G129" s="4"/>
      <c r="H129" s="4"/>
      <c r="I129" s="4"/>
      <c r="J129" s="4"/>
      <c r="L129" s="57"/>
      <c r="M129" s="57"/>
      <c r="N129" s="144"/>
      <c r="O129" s="241"/>
      <c r="P129" s="241"/>
      <c r="Q129" s="241"/>
      <c r="R129" s="241"/>
      <c r="S129" s="241"/>
      <c r="T129" s="241"/>
      <c r="U129" s="241"/>
      <c r="V129" s="241"/>
      <c r="W129" s="241"/>
      <c r="X129" s="241"/>
    </row>
    <row r="130" spans="1:24" ht="15">
      <c r="A130" s="24" t="s">
        <v>26</v>
      </c>
      <c r="B130" s="4"/>
      <c r="C130" s="4"/>
      <c r="D130" s="4"/>
      <c r="E130" s="4"/>
      <c r="F130" s="4"/>
      <c r="G130" s="4"/>
      <c r="H130" s="4"/>
      <c r="I130" s="4"/>
      <c r="J130" s="4"/>
      <c r="L130" s="57"/>
      <c r="M130" s="57"/>
      <c r="N130" s="144"/>
      <c r="O130" s="241"/>
      <c r="P130" s="241"/>
      <c r="Q130" s="241"/>
      <c r="R130" s="241"/>
      <c r="S130" s="241"/>
      <c r="T130" s="241"/>
      <c r="U130" s="241"/>
      <c r="V130" s="241"/>
      <c r="W130" s="241"/>
      <c r="X130" s="241"/>
    </row>
    <row r="131" spans="1:27" s="4" customFormat="1" ht="22.5" customHeight="1">
      <c r="A131" s="23" t="s">
        <v>43</v>
      </c>
      <c r="K131" s="57"/>
      <c r="L131" s="57"/>
      <c r="M131" s="57"/>
      <c r="N131" s="144"/>
      <c r="O131" s="241"/>
      <c r="P131" s="241"/>
      <c r="Q131" s="241"/>
      <c r="R131" s="241"/>
      <c r="S131" s="241"/>
      <c r="T131" s="241"/>
      <c r="U131" s="241"/>
      <c r="V131" s="241"/>
      <c r="W131" s="241"/>
      <c r="X131" s="241"/>
      <c r="Y131" s="27"/>
      <c r="Z131" s="27"/>
      <c r="AA131" s="27"/>
    </row>
    <row r="132" spans="1:27" s="4" customFormat="1" ht="18" customHeight="1">
      <c r="A132" s="201" t="s">
        <v>238</v>
      </c>
      <c r="B132" s="172"/>
      <c r="C132" s="172"/>
      <c r="D132" s="172"/>
      <c r="E132" s="172"/>
      <c r="F132" s="172"/>
      <c r="G132" s="172"/>
      <c r="H132" s="172"/>
      <c r="I132" s="172"/>
      <c r="J132" s="172"/>
      <c r="K132" s="252"/>
      <c r="L132" s="252"/>
      <c r="M132" s="252"/>
      <c r="N132" s="172"/>
      <c r="O132" s="240"/>
      <c r="P132" s="240"/>
      <c r="Q132" s="240"/>
      <c r="R132" s="240"/>
      <c r="S132" s="241"/>
      <c r="T132" s="241"/>
      <c r="U132" s="241"/>
      <c r="V132" s="241"/>
      <c r="W132" s="241"/>
      <c r="X132" s="241"/>
      <c r="Y132" s="27"/>
      <c r="Z132" s="27"/>
      <c r="AA132" s="27"/>
    </row>
    <row r="133" spans="1:24" ht="15">
      <c r="A133" s="199" t="s">
        <v>661</v>
      </c>
      <c r="B133" s="194"/>
      <c r="C133" s="195"/>
      <c r="D133" s="196"/>
      <c r="E133" s="196"/>
      <c r="F133" s="196"/>
      <c r="G133" s="196"/>
      <c r="H133" s="196"/>
      <c r="I133" s="196"/>
      <c r="J133" s="196"/>
      <c r="K133" s="253"/>
      <c r="L133" s="253"/>
      <c r="M133" s="254"/>
      <c r="N133" s="196"/>
      <c r="O133" s="242"/>
      <c r="P133" s="242"/>
      <c r="Q133" s="242"/>
      <c r="R133" s="242"/>
      <c r="S133" s="241"/>
      <c r="T133" s="241"/>
      <c r="U133" s="241"/>
      <c r="V133" s="241"/>
      <c r="W133" s="241"/>
      <c r="X133" s="241"/>
    </row>
    <row r="134" spans="1:27" ht="15">
      <c r="A134" s="61"/>
      <c r="B134" s="4"/>
      <c r="C134" s="4"/>
      <c r="D134" s="4"/>
      <c r="E134" s="4"/>
      <c r="F134" s="4"/>
      <c r="G134" s="4"/>
      <c r="H134" s="4"/>
      <c r="I134" s="4"/>
      <c r="J134" s="4"/>
      <c r="L134" s="57"/>
      <c r="M134" s="57"/>
      <c r="N134" s="144"/>
      <c r="O134" s="241"/>
      <c r="P134" s="241"/>
      <c r="Q134" s="241"/>
      <c r="R134" s="241"/>
      <c r="S134" s="241"/>
      <c r="T134" s="241"/>
      <c r="U134" s="241"/>
      <c r="V134" s="241"/>
      <c r="W134" s="241"/>
      <c r="X134" s="241"/>
      <c r="Y134" s="3"/>
      <c r="Z134" s="3"/>
      <c r="AA134" s="3"/>
    </row>
    <row r="135" spans="1:27" ht="15">
      <c r="A135" s="146" t="s">
        <v>219</v>
      </c>
      <c r="B135" s="4"/>
      <c r="C135" s="4"/>
      <c r="D135" s="4"/>
      <c r="E135" s="4"/>
      <c r="F135" s="4"/>
      <c r="G135" s="4"/>
      <c r="H135" s="4"/>
      <c r="I135" s="4"/>
      <c r="J135" s="4"/>
      <c r="L135" s="57"/>
      <c r="M135" s="57"/>
      <c r="N135" s="144"/>
      <c r="O135" s="241"/>
      <c r="P135" s="241"/>
      <c r="Q135" s="241"/>
      <c r="R135" s="241"/>
      <c r="S135" s="241"/>
      <c r="T135" s="241"/>
      <c r="U135" s="241"/>
      <c r="V135" s="241"/>
      <c r="W135" s="241"/>
      <c r="X135" s="241"/>
      <c r="Y135" s="3"/>
      <c r="Z135" s="3"/>
      <c r="AA135" s="3"/>
    </row>
    <row r="136" ht="15">
      <c r="A136" s="62" t="s">
        <v>220</v>
      </c>
    </row>
    <row r="139" spans="25:27" ht="15">
      <c r="Y139" s="3"/>
      <c r="Z139" s="3"/>
      <c r="AA139" s="3"/>
    </row>
    <row r="140" spans="1:27" ht="15">
      <c r="A140" s="4"/>
      <c r="B140" s="4"/>
      <c r="C140" s="4"/>
      <c r="D140" s="4"/>
      <c r="Y140" s="3"/>
      <c r="Z140" s="3"/>
      <c r="AA140" s="3"/>
    </row>
    <row r="141" spans="1:27" ht="15">
      <c r="A141" s="4"/>
      <c r="B141" s="4"/>
      <c r="C141" s="4"/>
      <c r="D141" s="4"/>
      <c r="Y141" s="3"/>
      <c r="Z141" s="3"/>
      <c r="AA141" s="3"/>
    </row>
    <row r="142" spans="1:17" ht="15">
      <c r="A142" s="4"/>
      <c r="B142" s="4"/>
      <c r="C142" s="4"/>
      <c r="D142" s="4"/>
      <c r="Q142" s="251"/>
    </row>
  </sheetData>
  <sheetProtection/>
  <mergeCells count="19">
    <mergeCell ref="J1:J2"/>
    <mergeCell ref="K1:K2"/>
    <mergeCell ref="A1:A2"/>
    <mergeCell ref="B1:B2"/>
    <mergeCell ref="N1:N2"/>
    <mergeCell ref="C1:C2"/>
    <mergeCell ref="F1:F2"/>
    <mergeCell ref="G1:G2"/>
    <mergeCell ref="D1:D2"/>
    <mergeCell ref="A127:H127"/>
    <mergeCell ref="A126:H126"/>
    <mergeCell ref="E1:E2"/>
    <mergeCell ref="A125:H125"/>
    <mergeCell ref="O1:X1"/>
    <mergeCell ref="L1:L2"/>
    <mergeCell ref="M1:M2"/>
    <mergeCell ref="A124:H124"/>
    <mergeCell ref="H1:H2"/>
    <mergeCell ref="I1:I2"/>
  </mergeCells>
  <conditionalFormatting sqref="Y124:AB126 Y3:AB117">
    <cfRule type="cellIs" priority="137" dxfId="51" operator="equal">
      <formula>FALSE</formula>
    </cfRule>
  </conditionalFormatting>
  <conditionalFormatting sqref="Y124:AA126 Y3:AA117">
    <cfRule type="containsText" priority="135" dxfId="51" operator="containsText" text="fałsz">
      <formula>NOT(ISERROR(SEARCH("fałsz",Y3)))</formula>
    </cfRule>
  </conditionalFormatting>
  <conditionalFormatting sqref="Y118:AB122">
    <cfRule type="cellIs" priority="3" dxfId="51" operator="equal">
      <formula>FALSE</formula>
    </cfRule>
  </conditionalFormatting>
  <conditionalFormatting sqref="Y123:AB123">
    <cfRule type="cellIs" priority="1" dxfId="51" operator="equal">
      <formula>FALSE</formula>
    </cfRule>
  </conditionalFormatting>
  <dataValidations count="2">
    <dataValidation type="list" allowBlank="1" showInputMessage="1" showErrorMessage="1" sqref="H12 H3:H10 H18:H123">
      <formula1>"B,P,R"</formula1>
    </dataValidation>
    <dataValidation type="list" allowBlank="1" showInputMessage="1" showErrorMessage="1" sqref="C3:C123">
      <formula1>"N,K,W"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scale="53" r:id="rId1"/>
  <headerFooter>
    <oddHeader>&amp;LWojewództwo podlaskie - zadania gminne lista podstawowa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3"/>
  <sheetViews>
    <sheetView showGridLines="0" view="pageBreakPreview" zoomScale="90" zoomScaleNormal="78" zoomScaleSheetLayoutView="90" zoomScalePageLayoutView="0" workbookViewId="0" topLeftCell="I1">
      <selection activeCell="A67" sqref="A67:G67"/>
    </sheetView>
  </sheetViews>
  <sheetFormatPr defaultColWidth="9.140625" defaultRowHeight="15"/>
  <cols>
    <col min="1" max="1" width="5.140625" style="27" customWidth="1"/>
    <col min="2" max="2" width="7.28125" style="7" customWidth="1"/>
    <col min="3" max="3" width="13.00390625" style="7" customWidth="1"/>
    <col min="4" max="4" width="18.7109375" style="7" customWidth="1"/>
    <col min="5" max="5" width="9.8515625" style="7" customWidth="1"/>
    <col min="6" max="6" width="65.7109375" style="7" customWidth="1"/>
    <col min="7" max="7" width="8.8515625" style="7" customWidth="1"/>
    <col min="8" max="8" width="9.421875" style="7" customWidth="1"/>
    <col min="9" max="9" width="13.57421875" style="7" customWidth="1"/>
    <col min="10" max="10" width="15.7109375" style="27" customWidth="1"/>
    <col min="11" max="12" width="15.7109375" style="7" customWidth="1"/>
    <col min="13" max="13" width="13.00390625" style="1" customWidth="1"/>
    <col min="14" max="16" width="15.7109375" style="7" customWidth="1"/>
    <col min="17" max="17" width="17.8515625" style="7" customWidth="1"/>
    <col min="18" max="19" width="15.7109375" style="7" customWidth="1"/>
    <col min="20" max="20" width="12.421875" style="7" customWidth="1"/>
    <col min="21" max="21" width="13.8515625" style="7" customWidth="1"/>
    <col min="22" max="22" width="13.7109375" style="7" customWidth="1"/>
    <col min="23" max="23" width="12.28125" style="7" customWidth="1"/>
    <col min="24" max="27" width="15.7109375" style="7" customWidth="1"/>
    <col min="28" max="16384" width="9.140625" style="7" customWidth="1"/>
  </cols>
  <sheetData>
    <row r="1" spans="1:27" ht="19.5" customHeight="1">
      <c r="A1" s="316" t="s">
        <v>4</v>
      </c>
      <c r="B1" s="316" t="s">
        <v>5</v>
      </c>
      <c r="C1" s="332" t="s">
        <v>45</v>
      </c>
      <c r="D1" s="329" t="s">
        <v>6</v>
      </c>
      <c r="E1" s="332" t="s">
        <v>33</v>
      </c>
      <c r="F1" s="329" t="s">
        <v>7</v>
      </c>
      <c r="G1" s="316" t="s">
        <v>27</v>
      </c>
      <c r="H1" s="316" t="s">
        <v>8</v>
      </c>
      <c r="I1" s="316" t="s">
        <v>24</v>
      </c>
      <c r="J1" s="316" t="s">
        <v>9</v>
      </c>
      <c r="K1" s="316" t="s">
        <v>10</v>
      </c>
      <c r="L1" s="329" t="s">
        <v>13</v>
      </c>
      <c r="M1" s="316" t="s">
        <v>11</v>
      </c>
      <c r="N1" s="316" t="s">
        <v>12</v>
      </c>
      <c r="O1" s="316"/>
      <c r="P1" s="316"/>
      <c r="Q1" s="316"/>
      <c r="R1" s="316"/>
      <c r="S1" s="316"/>
      <c r="T1" s="316"/>
      <c r="U1" s="316"/>
      <c r="V1" s="316"/>
      <c r="W1" s="316"/>
      <c r="X1" s="27"/>
      <c r="Y1" s="27"/>
      <c r="Z1" s="27"/>
      <c r="AA1" s="27"/>
    </row>
    <row r="2" spans="1:27" ht="32.25" customHeight="1">
      <c r="A2" s="316"/>
      <c r="B2" s="316"/>
      <c r="C2" s="326"/>
      <c r="D2" s="330"/>
      <c r="E2" s="326"/>
      <c r="F2" s="330"/>
      <c r="G2" s="316"/>
      <c r="H2" s="316"/>
      <c r="I2" s="316"/>
      <c r="J2" s="316"/>
      <c r="K2" s="316"/>
      <c r="L2" s="330"/>
      <c r="M2" s="316"/>
      <c r="N2" s="280">
        <v>2019</v>
      </c>
      <c r="O2" s="280">
        <v>2020</v>
      </c>
      <c r="P2" s="280">
        <v>2021</v>
      </c>
      <c r="Q2" s="280">
        <v>2022</v>
      </c>
      <c r="R2" s="280">
        <v>2023</v>
      </c>
      <c r="S2" s="280">
        <v>2024</v>
      </c>
      <c r="T2" s="280">
        <v>2025</v>
      </c>
      <c r="U2" s="280">
        <v>2026</v>
      </c>
      <c r="V2" s="280">
        <v>2027</v>
      </c>
      <c r="W2" s="280">
        <v>2028</v>
      </c>
      <c r="X2" s="144" t="s">
        <v>29</v>
      </c>
      <c r="Y2" s="144" t="s">
        <v>30</v>
      </c>
      <c r="Z2" s="144" t="s">
        <v>31</v>
      </c>
      <c r="AA2" s="31" t="s">
        <v>32</v>
      </c>
    </row>
    <row r="3" spans="1:28" s="34" customFormat="1" ht="37.5" customHeight="1">
      <c r="A3" s="220">
        <v>1</v>
      </c>
      <c r="B3" s="220">
        <v>114</v>
      </c>
      <c r="C3" s="220" t="s">
        <v>65</v>
      </c>
      <c r="D3" s="220" t="s">
        <v>48</v>
      </c>
      <c r="E3" s="224" t="s">
        <v>111</v>
      </c>
      <c r="F3" s="221" t="s">
        <v>331</v>
      </c>
      <c r="G3" s="184" t="s">
        <v>50</v>
      </c>
      <c r="H3" s="222">
        <v>1.396</v>
      </c>
      <c r="I3" s="223" t="s">
        <v>282</v>
      </c>
      <c r="J3" s="37">
        <v>8500000</v>
      </c>
      <c r="K3" s="173">
        <f aca="true" t="shared" si="0" ref="K3:K34">ROUNDDOWN(J3*M3,2)</f>
        <v>4250000</v>
      </c>
      <c r="L3" s="37">
        <f aca="true" t="shared" si="1" ref="L3:L34">J3-K3</f>
        <v>4250000</v>
      </c>
      <c r="M3" s="183">
        <v>0.5</v>
      </c>
      <c r="N3" s="175">
        <v>0</v>
      </c>
      <c r="O3" s="175">
        <v>0</v>
      </c>
      <c r="P3" s="176">
        <v>0</v>
      </c>
      <c r="Q3" s="176">
        <f>3500000*M3</f>
        <v>1750000</v>
      </c>
      <c r="R3" s="176">
        <f>5000000*M3</f>
        <v>2500000</v>
      </c>
      <c r="S3" s="176"/>
      <c r="T3" s="176"/>
      <c r="U3" s="176"/>
      <c r="V3" s="176"/>
      <c r="W3" s="176"/>
      <c r="X3" s="144" t="b">
        <f aca="true" t="shared" si="2" ref="X3:X34">K3=SUM(N3:W3)</f>
        <v>1</v>
      </c>
      <c r="Y3" s="215">
        <f aca="true" t="shared" si="3" ref="Y3:Y34">ROUND(K3/J3,4)</f>
        <v>0.5</v>
      </c>
      <c r="Z3" s="216" t="b">
        <f aca="true" t="shared" si="4" ref="Z3:Z34">Y3=M3</f>
        <v>1</v>
      </c>
      <c r="AA3" s="216" t="b">
        <f aca="true" t="shared" si="5" ref="AA3:AA34">J3=K3+L3</f>
        <v>1</v>
      </c>
      <c r="AB3" s="35"/>
    </row>
    <row r="4" spans="1:28" s="34" customFormat="1" ht="37.5" customHeight="1">
      <c r="A4" s="228">
        <v>2</v>
      </c>
      <c r="B4" s="228">
        <v>332</v>
      </c>
      <c r="C4" s="228" t="s">
        <v>106</v>
      </c>
      <c r="D4" s="228" t="s">
        <v>252</v>
      </c>
      <c r="E4" s="229" t="s">
        <v>107</v>
      </c>
      <c r="F4" s="230" t="s">
        <v>332</v>
      </c>
      <c r="G4" s="218" t="s">
        <v>49</v>
      </c>
      <c r="H4" s="231">
        <v>3.255</v>
      </c>
      <c r="I4" s="232" t="s">
        <v>254</v>
      </c>
      <c r="J4" s="174">
        <v>3000000</v>
      </c>
      <c r="K4" s="205">
        <f t="shared" si="0"/>
        <v>1500000</v>
      </c>
      <c r="L4" s="174">
        <f t="shared" si="1"/>
        <v>1500000</v>
      </c>
      <c r="M4" s="192">
        <v>0.5</v>
      </c>
      <c r="N4" s="193">
        <v>0</v>
      </c>
      <c r="O4" s="193">
        <v>0</v>
      </c>
      <c r="P4" s="178">
        <v>0</v>
      </c>
      <c r="Q4" s="178">
        <f>K4</f>
        <v>1500000</v>
      </c>
      <c r="R4" s="178"/>
      <c r="S4" s="178"/>
      <c r="T4" s="178"/>
      <c r="U4" s="178"/>
      <c r="V4" s="178"/>
      <c r="W4" s="178"/>
      <c r="X4" s="144" t="b">
        <f t="shared" si="2"/>
        <v>1</v>
      </c>
      <c r="Y4" s="215">
        <f t="shared" si="3"/>
        <v>0.5</v>
      </c>
      <c r="Z4" s="216" t="b">
        <f t="shared" si="4"/>
        <v>1</v>
      </c>
      <c r="AA4" s="216" t="b">
        <f t="shared" si="5"/>
        <v>1</v>
      </c>
      <c r="AB4" s="35"/>
    </row>
    <row r="5" spans="1:28" s="34" customFormat="1" ht="37.5" customHeight="1">
      <c r="A5" s="228">
        <v>3</v>
      </c>
      <c r="B5" s="228">
        <v>331</v>
      </c>
      <c r="C5" s="228" t="s">
        <v>106</v>
      </c>
      <c r="D5" s="228" t="s">
        <v>252</v>
      </c>
      <c r="E5" s="229" t="s">
        <v>107</v>
      </c>
      <c r="F5" s="230" t="s">
        <v>333</v>
      </c>
      <c r="G5" s="218" t="s">
        <v>49</v>
      </c>
      <c r="H5" s="231">
        <v>3.034</v>
      </c>
      <c r="I5" s="232" t="s">
        <v>254</v>
      </c>
      <c r="J5" s="174">
        <v>3000000</v>
      </c>
      <c r="K5" s="205">
        <f t="shared" si="0"/>
        <v>1500000</v>
      </c>
      <c r="L5" s="174">
        <f t="shared" si="1"/>
        <v>1500000</v>
      </c>
      <c r="M5" s="192">
        <v>0.5</v>
      </c>
      <c r="N5" s="193">
        <v>0</v>
      </c>
      <c r="O5" s="193">
        <v>0</v>
      </c>
      <c r="P5" s="178">
        <v>0</v>
      </c>
      <c r="Q5" s="178">
        <f>K5</f>
        <v>1500000</v>
      </c>
      <c r="R5" s="178"/>
      <c r="S5" s="178"/>
      <c r="T5" s="178"/>
      <c r="U5" s="178"/>
      <c r="V5" s="177"/>
      <c r="W5" s="177"/>
      <c r="X5" s="144" t="b">
        <f t="shared" si="2"/>
        <v>1</v>
      </c>
      <c r="Y5" s="215">
        <f t="shared" si="3"/>
        <v>0.5</v>
      </c>
      <c r="Z5" s="216" t="b">
        <f t="shared" si="4"/>
        <v>1</v>
      </c>
      <c r="AA5" s="216" t="b">
        <f t="shared" si="5"/>
        <v>1</v>
      </c>
      <c r="AB5" s="35"/>
    </row>
    <row r="6" spans="1:27" s="278" customFormat="1" ht="37.5" customHeight="1">
      <c r="A6" s="220">
        <v>4</v>
      </c>
      <c r="B6" s="220">
        <v>4</v>
      </c>
      <c r="C6" s="220" t="s">
        <v>65</v>
      </c>
      <c r="D6" s="220" t="s">
        <v>324</v>
      </c>
      <c r="E6" s="224" t="s">
        <v>325</v>
      </c>
      <c r="F6" s="221" t="s">
        <v>388</v>
      </c>
      <c r="G6" s="220" t="s">
        <v>75</v>
      </c>
      <c r="H6" s="222">
        <v>4.61</v>
      </c>
      <c r="I6" s="220" t="s">
        <v>290</v>
      </c>
      <c r="J6" s="37">
        <v>5100000</v>
      </c>
      <c r="K6" s="173">
        <f>ROUNDDOWN(J6*M6,2)</f>
        <v>4080000</v>
      </c>
      <c r="L6" s="37">
        <f t="shared" si="1"/>
        <v>1020000</v>
      </c>
      <c r="M6" s="188">
        <v>0.8</v>
      </c>
      <c r="N6" s="175">
        <v>0</v>
      </c>
      <c r="O6" s="175">
        <v>0</v>
      </c>
      <c r="P6" s="176">
        <v>0</v>
      </c>
      <c r="Q6" s="176">
        <f>K6-R6</f>
        <v>1780000</v>
      </c>
      <c r="R6" s="176">
        <v>2300000</v>
      </c>
      <c r="S6" s="176"/>
      <c r="T6" s="176"/>
      <c r="U6" s="176"/>
      <c r="V6" s="176"/>
      <c r="W6" s="176"/>
      <c r="X6" s="144" t="b">
        <f t="shared" si="2"/>
        <v>1</v>
      </c>
      <c r="Y6" s="215">
        <f t="shared" si="3"/>
        <v>0.8</v>
      </c>
      <c r="Z6" s="216" t="b">
        <f t="shared" si="4"/>
        <v>1</v>
      </c>
      <c r="AA6" s="216" t="b">
        <f t="shared" si="5"/>
        <v>1</v>
      </c>
    </row>
    <row r="7" spans="1:28" s="34" customFormat="1" ht="37.5" customHeight="1">
      <c r="A7" s="220">
        <v>5</v>
      </c>
      <c r="B7" s="220">
        <v>104</v>
      </c>
      <c r="C7" s="220" t="s">
        <v>65</v>
      </c>
      <c r="D7" s="220" t="s">
        <v>48</v>
      </c>
      <c r="E7" s="224" t="s">
        <v>111</v>
      </c>
      <c r="F7" s="221" t="s">
        <v>334</v>
      </c>
      <c r="G7" s="184" t="s">
        <v>49</v>
      </c>
      <c r="H7" s="222">
        <v>0.631</v>
      </c>
      <c r="I7" s="223" t="s">
        <v>282</v>
      </c>
      <c r="J7" s="37">
        <v>1975000</v>
      </c>
      <c r="K7" s="173">
        <f t="shared" si="0"/>
        <v>987500</v>
      </c>
      <c r="L7" s="37">
        <f t="shared" si="1"/>
        <v>987500</v>
      </c>
      <c r="M7" s="183">
        <v>0.5</v>
      </c>
      <c r="N7" s="175">
        <v>0</v>
      </c>
      <c r="O7" s="175">
        <v>0</v>
      </c>
      <c r="P7" s="176">
        <v>0</v>
      </c>
      <c r="Q7" s="176">
        <f>975000*M7</f>
        <v>487500</v>
      </c>
      <c r="R7" s="176">
        <f>1000000*M7</f>
        <v>500000</v>
      </c>
      <c r="S7" s="176"/>
      <c r="T7" s="176"/>
      <c r="U7" s="176"/>
      <c r="V7" s="176"/>
      <c r="W7" s="176"/>
      <c r="X7" s="144" t="b">
        <f t="shared" si="2"/>
        <v>1</v>
      </c>
      <c r="Y7" s="215">
        <f t="shared" si="3"/>
        <v>0.5</v>
      </c>
      <c r="Z7" s="216" t="b">
        <f t="shared" si="4"/>
        <v>1</v>
      </c>
      <c r="AA7" s="216" t="b">
        <f t="shared" si="5"/>
        <v>1</v>
      </c>
      <c r="AB7" s="35"/>
    </row>
    <row r="8" spans="1:28" s="34" customFormat="1" ht="37.5" customHeight="1">
      <c r="A8" s="220">
        <v>6</v>
      </c>
      <c r="B8" s="220">
        <v>328</v>
      </c>
      <c r="C8" s="220" t="s">
        <v>65</v>
      </c>
      <c r="D8" s="220" t="s">
        <v>252</v>
      </c>
      <c r="E8" s="224" t="s">
        <v>107</v>
      </c>
      <c r="F8" s="221" t="s">
        <v>335</v>
      </c>
      <c r="G8" s="184" t="s">
        <v>49</v>
      </c>
      <c r="H8" s="222">
        <v>2.031</v>
      </c>
      <c r="I8" s="223" t="s">
        <v>336</v>
      </c>
      <c r="J8" s="37">
        <v>2000000</v>
      </c>
      <c r="K8" s="173">
        <f t="shared" si="0"/>
        <v>1000000</v>
      </c>
      <c r="L8" s="37">
        <f t="shared" si="1"/>
        <v>1000000</v>
      </c>
      <c r="M8" s="183">
        <v>0.5</v>
      </c>
      <c r="N8" s="175">
        <v>0</v>
      </c>
      <c r="O8" s="175">
        <v>0</v>
      </c>
      <c r="P8" s="176">
        <v>0</v>
      </c>
      <c r="Q8" s="176">
        <f>68000*M8</f>
        <v>34000</v>
      </c>
      <c r="R8" s="176">
        <f>1932000*M8</f>
        <v>966000</v>
      </c>
      <c r="S8" s="176"/>
      <c r="T8" s="176"/>
      <c r="U8" s="176"/>
      <c r="V8" s="176"/>
      <c r="W8" s="176"/>
      <c r="X8" s="144" t="b">
        <f t="shared" si="2"/>
        <v>1</v>
      </c>
      <c r="Y8" s="215">
        <f t="shared" si="3"/>
        <v>0.5</v>
      </c>
      <c r="Z8" s="216" t="b">
        <f t="shared" si="4"/>
        <v>1</v>
      </c>
      <c r="AA8" s="216" t="b">
        <f t="shared" si="5"/>
        <v>1</v>
      </c>
      <c r="AB8" s="35"/>
    </row>
    <row r="9" spans="1:28" s="34" customFormat="1" ht="37.5" customHeight="1">
      <c r="A9" s="220">
        <v>7</v>
      </c>
      <c r="B9" s="220">
        <v>109</v>
      </c>
      <c r="C9" s="220" t="s">
        <v>65</v>
      </c>
      <c r="D9" s="220" t="s">
        <v>48</v>
      </c>
      <c r="E9" s="224" t="s">
        <v>111</v>
      </c>
      <c r="F9" s="221" t="s">
        <v>337</v>
      </c>
      <c r="G9" s="184" t="s">
        <v>49</v>
      </c>
      <c r="H9" s="222">
        <v>6.319</v>
      </c>
      <c r="I9" s="223" t="s">
        <v>311</v>
      </c>
      <c r="J9" s="37">
        <v>11000000</v>
      </c>
      <c r="K9" s="173">
        <f t="shared" si="0"/>
        <v>5500000</v>
      </c>
      <c r="L9" s="37">
        <f t="shared" si="1"/>
        <v>5500000</v>
      </c>
      <c r="M9" s="183">
        <v>0.5</v>
      </c>
      <c r="N9" s="175">
        <v>0</v>
      </c>
      <c r="O9" s="175">
        <v>0</v>
      </c>
      <c r="P9" s="176">
        <v>0</v>
      </c>
      <c r="Q9" s="176">
        <f>1500000*M9</f>
        <v>750000</v>
      </c>
      <c r="R9" s="176">
        <f>4500000*M9</f>
        <v>2250000</v>
      </c>
      <c r="S9" s="176">
        <f>5000000*M9</f>
        <v>2500000</v>
      </c>
      <c r="T9" s="176"/>
      <c r="U9" s="176"/>
      <c r="V9" s="176"/>
      <c r="W9" s="176"/>
      <c r="X9" s="144" t="b">
        <f t="shared" si="2"/>
        <v>1</v>
      </c>
      <c r="Y9" s="215">
        <f t="shared" si="3"/>
        <v>0.5</v>
      </c>
      <c r="Z9" s="216" t="b">
        <f t="shared" si="4"/>
        <v>1</v>
      </c>
      <c r="AA9" s="216" t="b">
        <f t="shared" si="5"/>
        <v>1</v>
      </c>
      <c r="AB9" s="35"/>
    </row>
    <row r="10" spans="1:28" s="34" customFormat="1" ht="37.5" customHeight="1">
      <c r="A10" s="227">
        <v>8</v>
      </c>
      <c r="B10" s="228">
        <v>105</v>
      </c>
      <c r="C10" s="228" t="s">
        <v>106</v>
      </c>
      <c r="D10" s="228" t="s">
        <v>48</v>
      </c>
      <c r="E10" s="233" t="s">
        <v>111</v>
      </c>
      <c r="F10" s="230" t="s">
        <v>338</v>
      </c>
      <c r="G10" s="218" t="s">
        <v>50</v>
      </c>
      <c r="H10" s="231">
        <v>1.391</v>
      </c>
      <c r="I10" s="232" t="s">
        <v>280</v>
      </c>
      <c r="J10" s="174">
        <v>4940000</v>
      </c>
      <c r="K10" s="205">
        <f t="shared" si="0"/>
        <v>2470000</v>
      </c>
      <c r="L10" s="174">
        <f t="shared" si="1"/>
        <v>2470000</v>
      </c>
      <c r="M10" s="192">
        <v>0.5</v>
      </c>
      <c r="N10" s="193">
        <v>0</v>
      </c>
      <c r="O10" s="193">
        <v>0</v>
      </c>
      <c r="P10" s="178">
        <v>0</v>
      </c>
      <c r="Q10" s="178">
        <f aca="true" t="shared" si="6" ref="Q10:Q21">K10</f>
        <v>2470000</v>
      </c>
      <c r="R10" s="178"/>
      <c r="S10" s="177"/>
      <c r="T10" s="177"/>
      <c r="U10" s="177"/>
      <c r="V10" s="177"/>
      <c r="W10" s="177"/>
      <c r="X10" s="144" t="b">
        <f t="shared" si="2"/>
        <v>1</v>
      </c>
      <c r="Y10" s="215">
        <f t="shared" si="3"/>
        <v>0.5</v>
      </c>
      <c r="Z10" s="216" t="b">
        <f t="shared" si="4"/>
        <v>1</v>
      </c>
      <c r="AA10" s="216" t="b">
        <f t="shared" si="5"/>
        <v>1</v>
      </c>
      <c r="AB10" s="35"/>
    </row>
    <row r="11" spans="1:28" s="34" customFormat="1" ht="37.5" customHeight="1">
      <c r="A11" s="227">
        <v>9</v>
      </c>
      <c r="B11" s="228">
        <v>103</v>
      </c>
      <c r="C11" s="228" t="s">
        <v>106</v>
      </c>
      <c r="D11" s="228" t="s">
        <v>48</v>
      </c>
      <c r="E11" s="233" t="s">
        <v>111</v>
      </c>
      <c r="F11" s="230" t="s">
        <v>339</v>
      </c>
      <c r="G11" s="218" t="s">
        <v>49</v>
      </c>
      <c r="H11" s="231">
        <v>0.375</v>
      </c>
      <c r="I11" s="232" t="s">
        <v>280</v>
      </c>
      <c r="J11" s="174">
        <v>1460024.85</v>
      </c>
      <c r="K11" s="205">
        <f t="shared" si="0"/>
        <v>730012.42</v>
      </c>
      <c r="L11" s="174">
        <f t="shared" si="1"/>
        <v>730012.43</v>
      </c>
      <c r="M11" s="192">
        <v>0.5</v>
      </c>
      <c r="N11" s="193">
        <v>0</v>
      </c>
      <c r="O11" s="193">
        <v>0</v>
      </c>
      <c r="P11" s="178">
        <v>0</v>
      </c>
      <c r="Q11" s="178">
        <f t="shared" si="6"/>
        <v>730012.42</v>
      </c>
      <c r="R11" s="178"/>
      <c r="S11" s="177"/>
      <c r="T11" s="177"/>
      <c r="U11" s="177"/>
      <c r="V11" s="177"/>
      <c r="W11" s="177"/>
      <c r="X11" s="144" t="b">
        <f t="shared" si="2"/>
        <v>1</v>
      </c>
      <c r="Y11" s="215">
        <f t="shared" si="3"/>
        <v>0.5</v>
      </c>
      <c r="Z11" s="216" t="b">
        <f t="shared" si="4"/>
        <v>1</v>
      </c>
      <c r="AA11" s="216" t="b">
        <f t="shared" si="5"/>
        <v>1</v>
      </c>
      <c r="AB11" s="35"/>
    </row>
    <row r="12" spans="1:28" s="34" customFormat="1" ht="37.5" customHeight="1">
      <c r="A12" s="227">
        <v>10</v>
      </c>
      <c r="B12" s="228">
        <v>341</v>
      </c>
      <c r="C12" s="227" t="s">
        <v>106</v>
      </c>
      <c r="D12" s="227" t="s">
        <v>110</v>
      </c>
      <c r="E12" s="233" t="s">
        <v>267</v>
      </c>
      <c r="F12" s="234" t="s">
        <v>340</v>
      </c>
      <c r="G12" s="219" t="s">
        <v>50</v>
      </c>
      <c r="H12" s="235">
        <v>3.045</v>
      </c>
      <c r="I12" s="236" t="s">
        <v>269</v>
      </c>
      <c r="J12" s="174">
        <v>3893222.75</v>
      </c>
      <c r="K12" s="205">
        <f t="shared" si="0"/>
        <v>1946611.37</v>
      </c>
      <c r="L12" s="174">
        <f t="shared" si="1"/>
        <v>1946611.38</v>
      </c>
      <c r="M12" s="192">
        <v>0.5</v>
      </c>
      <c r="N12" s="193">
        <v>0</v>
      </c>
      <c r="O12" s="193">
        <v>0</v>
      </c>
      <c r="P12" s="178">
        <v>0</v>
      </c>
      <c r="Q12" s="178">
        <f t="shared" si="6"/>
        <v>1946611.37</v>
      </c>
      <c r="R12" s="177"/>
      <c r="S12" s="177"/>
      <c r="T12" s="177"/>
      <c r="U12" s="177"/>
      <c r="V12" s="177"/>
      <c r="W12" s="177"/>
      <c r="X12" s="144" t="b">
        <f t="shared" si="2"/>
        <v>1</v>
      </c>
      <c r="Y12" s="215">
        <f t="shared" si="3"/>
        <v>0.5</v>
      </c>
      <c r="Z12" s="216" t="b">
        <f t="shared" si="4"/>
        <v>1</v>
      </c>
      <c r="AA12" s="216" t="b">
        <f t="shared" si="5"/>
        <v>1</v>
      </c>
      <c r="AB12" s="35"/>
    </row>
    <row r="13" spans="1:28" s="34" customFormat="1" ht="37.5" customHeight="1">
      <c r="A13" s="227">
        <v>11</v>
      </c>
      <c r="B13" s="227">
        <v>343</v>
      </c>
      <c r="C13" s="227" t="s">
        <v>106</v>
      </c>
      <c r="D13" s="227" t="s">
        <v>110</v>
      </c>
      <c r="E13" s="233" t="s">
        <v>267</v>
      </c>
      <c r="F13" s="234" t="s">
        <v>341</v>
      </c>
      <c r="G13" s="219" t="s">
        <v>49</v>
      </c>
      <c r="H13" s="235">
        <v>1.625</v>
      </c>
      <c r="I13" s="236" t="s">
        <v>269</v>
      </c>
      <c r="J13" s="244">
        <v>5984469.64</v>
      </c>
      <c r="K13" s="173">
        <f t="shared" si="0"/>
        <v>2992234.82</v>
      </c>
      <c r="L13" s="37">
        <f t="shared" si="1"/>
        <v>2992234.82</v>
      </c>
      <c r="M13" s="188">
        <v>0.5</v>
      </c>
      <c r="N13" s="175">
        <v>0</v>
      </c>
      <c r="O13" s="175">
        <v>0</v>
      </c>
      <c r="P13" s="177">
        <v>0</v>
      </c>
      <c r="Q13" s="177">
        <f t="shared" si="6"/>
        <v>2992234.82</v>
      </c>
      <c r="R13" s="177"/>
      <c r="S13" s="177"/>
      <c r="T13" s="177"/>
      <c r="U13" s="177"/>
      <c r="V13" s="177"/>
      <c r="W13" s="177"/>
      <c r="X13" s="144" t="b">
        <f t="shared" si="2"/>
        <v>1</v>
      </c>
      <c r="Y13" s="215">
        <f t="shared" si="3"/>
        <v>0.5</v>
      </c>
      <c r="Z13" s="216" t="b">
        <f t="shared" si="4"/>
        <v>1</v>
      </c>
      <c r="AA13" s="216" t="b">
        <f t="shared" si="5"/>
        <v>1</v>
      </c>
      <c r="AB13" s="35"/>
    </row>
    <row r="14" spans="1:28" s="34" customFormat="1" ht="37.5" customHeight="1">
      <c r="A14" s="227">
        <v>12</v>
      </c>
      <c r="B14" s="227">
        <v>124</v>
      </c>
      <c r="C14" s="227" t="s">
        <v>106</v>
      </c>
      <c r="D14" s="227" t="s">
        <v>48</v>
      </c>
      <c r="E14" s="233" t="s">
        <v>111</v>
      </c>
      <c r="F14" s="234" t="s">
        <v>342</v>
      </c>
      <c r="G14" s="219" t="s">
        <v>49</v>
      </c>
      <c r="H14" s="235">
        <v>0.979</v>
      </c>
      <c r="I14" s="236" t="s">
        <v>280</v>
      </c>
      <c r="J14" s="174">
        <v>2000000</v>
      </c>
      <c r="K14" s="205">
        <f t="shared" si="0"/>
        <v>1000000</v>
      </c>
      <c r="L14" s="174">
        <f t="shared" si="1"/>
        <v>1000000</v>
      </c>
      <c r="M14" s="192">
        <v>0.5</v>
      </c>
      <c r="N14" s="193">
        <v>0</v>
      </c>
      <c r="O14" s="193">
        <v>0</v>
      </c>
      <c r="P14" s="178">
        <v>0</v>
      </c>
      <c r="Q14" s="178">
        <f t="shared" si="6"/>
        <v>1000000</v>
      </c>
      <c r="R14" s="177"/>
      <c r="S14" s="177"/>
      <c r="T14" s="177"/>
      <c r="U14" s="177"/>
      <c r="V14" s="177"/>
      <c r="W14" s="177"/>
      <c r="X14" s="144" t="b">
        <f t="shared" si="2"/>
        <v>1</v>
      </c>
      <c r="Y14" s="215">
        <f t="shared" si="3"/>
        <v>0.5</v>
      </c>
      <c r="Z14" s="216" t="b">
        <f t="shared" si="4"/>
        <v>1</v>
      </c>
      <c r="AA14" s="216" t="b">
        <f t="shared" si="5"/>
        <v>1</v>
      </c>
      <c r="AB14" s="35"/>
    </row>
    <row r="15" spans="1:28" s="34" customFormat="1" ht="37.5" customHeight="1">
      <c r="A15" s="227">
        <v>13</v>
      </c>
      <c r="B15" s="228">
        <v>257</v>
      </c>
      <c r="C15" s="227" t="s">
        <v>106</v>
      </c>
      <c r="D15" s="227" t="s">
        <v>101</v>
      </c>
      <c r="E15" s="233" t="s">
        <v>264</v>
      </c>
      <c r="F15" s="234" t="s">
        <v>343</v>
      </c>
      <c r="G15" s="219" t="s">
        <v>47</v>
      </c>
      <c r="H15" s="235">
        <v>0.99</v>
      </c>
      <c r="I15" s="236" t="s">
        <v>271</v>
      </c>
      <c r="J15" s="174">
        <v>1550000</v>
      </c>
      <c r="K15" s="205">
        <f t="shared" si="0"/>
        <v>775000</v>
      </c>
      <c r="L15" s="174">
        <f t="shared" si="1"/>
        <v>775000</v>
      </c>
      <c r="M15" s="192">
        <v>0.5</v>
      </c>
      <c r="N15" s="193">
        <v>0</v>
      </c>
      <c r="O15" s="193">
        <v>0</v>
      </c>
      <c r="P15" s="178">
        <v>0</v>
      </c>
      <c r="Q15" s="178">
        <f t="shared" si="6"/>
        <v>775000</v>
      </c>
      <c r="R15" s="177"/>
      <c r="S15" s="177"/>
      <c r="T15" s="177"/>
      <c r="U15" s="177"/>
      <c r="V15" s="177"/>
      <c r="W15" s="177"/>
      <c r="X15" s="144" t="b">
        <f t="shared" si="2"/>
        <v>1</v>
      </c>
      <c r="Y15" s="215">
        <f t="shared" si="3"/>
        <v>0.5</v>
      </c>
      <c r="Z15" s="216" t="b">
        <f t="shared" si="4"/>
        <v>1</v>
      </c>
      <c r="AA15" s="216" t="b">
        <f t="shared" si="5"/>
        <v>1</v>
      </c>
      <c r="AB15" s="35"/>
    </row>
    <row r="16" spans="1:28" s="34" customFormat="1" ht="37.5" customHeight="1">
      <c r="A16" s="227">
        <v>14</v>
      </c>
      <c r="B16" s="228">
        <v>345</v>
      </c>
      <c r="C16" s="227" t="s">
        <v>106</v>
      </c>
      <c r="D16" s="227" t="s">
        <v>110</v>
      </c>
      <c r="E16" s="233" t="s">
        <v>267</v>
      </c>
      <c r="F16" s="234" t="s">
        <v>344</v>
      </c>
      <c r="G16" s="219" t="s">
        <v>47</v>
      </c>
      <c r="H16" s="235">
        <v>1.36</v>
      </c>
      <c r="I16" s="236" t="s">
        <v>269</v>
      </c>
      <c r="J16" s="244">
        <v>10102000</v>
      </c>
      <c r="K16" s="205">
        <f t="shared" si="0"/>
        <v>5051000</v>
      </c>
      <c r="L16" s="174">
        <f t="shared" si="1"/>
        <v>5051000</v>
      </c>
      <c r="M16" s="192">
        <v>0.5</v>
      </c>
      <c r="N16" s="193">
        <v>0</v>
      </c>
      <c r="O16" s="193">
        <v>0</v>
      </c>
      <c r="P16" s="178">
        <v>0</v>
      </c>
      <c r="Q16" s="178">
        <f t="shared" si="6"/>
        <v>5051000</v>
      </c>
      <c r="R16" s="177"/>
      <c r="S16" s="177"/>
      <c r="T16" s="177"/>
      <c r="U16" s="177"/>
      <c r="V16" s="177"/>
      <c r="W16" s="177"/>
      <c r="X16" s="144" t="b">
        <f t="shared" si="2"/>
        <v>1</v>
      </c>
      <c r="Y16" s="215">
        <f t="shared" si="3"/>
        <v>0.5</v>
      </c>
      <c r="Z16" s="216" t="b">
        <f t="shared" si="4"/>
        <v>1</v>
      </c>
      <c r="AA16" s="216" t="b">
        <f t="shared" si="5"/>
        <v>1</v>
      </c>
      <c r="AB16" s="35"/>
    </row>
    <row r="17" spans="1:28" s="34" customFormat="1" ht="37.5" customHeight="1">
      <c r="A17" s="227">
        <v>15</v>
      </c>
      <c r="B17" s="228">
        <v>342</v>
      </c>
      <c r="C17" s="227" t="s">
        <v>106</v>
      </c>
      <c r="D17" s="227" t="s">
        <v>110</v>
      </c>
      <c r="E17" s="233" t="s">
        <v>267</v>
      </c>
      <c r="F17" s="234" t="s">
        <v>345</v>
      </c>
      <c r="G17" s="219" t="s">
        <v>49</v>
      </c>
      <c r="H17" s="235">
        <v>1.546</v>
      </c>
      <c r="I17" s="236" t="s">
        <v>269</v>
      </c>
      <c r="J17" s="174">
        <v>1548858.07</v>
      </c>
      <c r="K17" s="205">
        <f t="shared" si="0"/>
        <v>774429.03</v>
      </c>
      <c r="L17" s="174">
        <f t="shared" si="1"/>
        <v>774429.04</v>
      </c>
      <c r="M17" s="192">
        <v>0.5</v>
      </c>
      <c r="N17" s="193">
        <v>0</v>
      </c>
      <c r="O17" s="193">
        <v>0</v>
      </c>
      <c r="P17" s="178">
        <v>0</v>
      </c>
      <c r="Q17" s="178">
        <f t="shared" si="6"/>
        <v>774429.03</v>
      </c>
      <c r="R17" s="177"/>
      <c r="S17" s="177"/>
      <c r="T17" s="177"/>
      <c r="U17" s="177"/>
      <c r="V17" s="177"/>
      <c r="W17" s="177"/>
      <c r="X17" s="144" t="b">
        <f t="shared" si="2"/>
        <v>1</v>
      </c>
      <c r="Y17" s="215">
        <f t="shared" si="3"/>
        <v>0.5</v>
      </c>
      <c r="Z17" s="216" t="b">
        <f t="shared" si="4"/>
        <v>1</v>
      </c>
      <c r="AA17" s="216" t="b">
        <f t="shared" si="5"/>
        <v>1</v>
      </c>
      <c r="AB17" s="35"/>
    </row>
    <row r="18" spans="1:28" s="34" customFormat="1" ht="37.5" customHeight="1">
      <c r="A18" s="227">
        <v>16</v>
      </c>
      <c r="B18" s="228">
        <v>123</v>
      </c>
      <c r="C18" s="227" t="s">
        <v>106</v>
      </c>
      <c r="D18" s="227" t="s">
        <v>48</v>
      </c>
      <c r="E18" s="233" t="s">
        <v>111</v>
      </c>
      <c r="F18" s="234" t="s">
        <v>186</v>
      </c>
      <c r="G18" s="219" t="s">
        <v>50</v>
      </c>
      <c r="H18" s="235">
        <v>0.232</v>
      </c>
      <c r="I18" s="236" t="s">
        <v>280</v>
      </c>
      <c r="J18" s="174">
        <v>702000</v>
      </c>
      <c r="K18" s="205">
        <f t="shared" si="0"/>
        <v>351000</v>
      </c>
      <c r="L18" s="174">
        <f t="shared" si="1"/>
        <v>351000</v>
      </c>
      <c r="M18" s="192">
        <v>0.5</v>
      </c>
      <c r="N18" s="193">
        <v>0</v>
      </c>
      <c r="O18" s="193">
        <v>0</v>
      </c>
      <c r="P18" s="178">
        <v>0</v>
      </c>
      <c r="Q18" s="178">
        <f t="shared" si="6"/>
        <v>351000</v>
      </c>
      <c r="R18" s="177"/>
      <c r="S18" s="177"/>
      <c r="T18" s="177"/>
      <c r="U18" s="177"/>
      <c r="V18" s="177"/>
      <c r="W18" s="177"/>
      <c r="X18" s="144" t="b">
        <f t="shared" si="2"/>
        <v>1</v>
      </c>
      <c r="Y18" s="215">
        <f t="shared" si="3"/>
        <v>0.5</v>
      </c>
      <c r="Z18" s="216" t="b">
        <f t="shared" si="4"/>
        <v>1</v>
      </c>
      <c r="AA18" s="216" t="b">
        <f t="shared" si="5"/>
        <v>1</v>
      </c>
      <c r="AB18" s="35"/>
    </row>
    <row r="19" spans="1:28" s="34" customFormat="1" ht="37.5" customHeight="1">
      <c r="A19" s="227">
        <v>17</v>
      </c>
      <c r="B19" s="228">
        <v>336</v>
      </c>
      <c r="C19" s="227" t="s">
        <v>106</v>
      </c>
      <c r="D19" s="227" t="s">
        <v>110</v>
      </c>
      <c r="E19" s="233" t="s">
        <v>267</v>
      </c>
      <c r="F19" s="234" t="s">
        <v>346</v>
      </c>
      <c r="G19" s="219" t="s">
        <v>49</v>
      </c>
      <c r="H19" s="235">
        <v>2.5</v>
      </c>
      <c r="I19" s="236" t="s">
        <v>269</v>
      </c>
      <c r="J19" s="244">
        <v>2976543.33</v>
      </c>
      <c r="K19" s="205">
        <f t="shared" si="0"/>
        <v>1488271.66</v>
      </c>
      <c r="L19" s="174">
        <f t="shared" si="1"/>
        <v>1488271.6700000002</v>
      </c>
      <c r="M19" s="192">
        <v>0.5</v>
      </c>
      <c r="N19" s="193">
        <v>0</v>
      </c>
      <c r="O19" s="193">
        <v>0</v>
      </c>
      <c r="P19" s="178">
        <v>0</v>
      </c>
      <c r="Q19" s="178">
        <f t="shared" si="6"/>
        <v>1488271.66</v>
      </c>
      <c r="R19" s="177"/>
      <c r="S19" s="177"/>
      <c r="T19" s="177"/>
      <c r="U19" s="177"/>
      <c r="V19" s="177"/>
      <c r="W19" s="177"/>
      <c r="X19" s="144" t="b">
        <f t="shared" si="2"/>
        <v>1</v>
      </c>
      <c r="Y19" s="215">
        <f t="shared" si="3"/>
        <v>0.5</v>
      </c>
      <c r="Z19" s="216" t="b">
        <f t="shared" si="4"/>
        <v>1</v>
      </c>
      <c r="AA19" s="216" t="b">
        <f t="shared" si="5"/>
        <v>1</v>
      </c>
      <c r="AB19" s="35"/>
    </row>
    <row r="20" spans="1:28" s="34" customFormat="1" ht="37.5" customHeight="1">
      <c r="A20" s="227">
        <v>18</v>
      </c>
      <c r="B20" s="228">
        <v>117</v>
      </c>
      <c r="C20" s="227" t="s">
        <v>106</v>
      </c>
      <c r="D20" s="227" t="s">
        <v>48</v>
      </c>
      <c r="E20" s="233" t="s">
        <v>111</v>
      </c>
      <c r="F20" s="234" t="s">
        <v>347</v>
      </c>
      <c r="G20" s="219" t="s">
        <v>49</v>
      </c>
      <c r="H20" s="235">
        <v>2.568</v>
      </c>
      <c r="I20" s="236" t="s">
        <v>280</v>
      </c>
      <c r="J20" s="174">
        <v>3300000</v>
      </c>
      <c r="K20" s="205">
        <f t="shared" si="0"/>
        <v>1650000</v>
      </c>
      <c r="L20" s="174">
        <f t="shared" si="1"/>
        <v>1650000</v>
      </c>
      <c r="M20" s="192">
        <v>0.5</v>
      </c>
      <c r="N20" s="193">
        <v>0</v>
      </c>
      <c r="O20" s="193">
        <v>0</v>
      </c>
      <c r="P20" s="178">
        <v>0</v>
      </c>
      <c r="Q20" s="178">
        <f t="shared" si="6"/>
        <v>1650000</v>
      </c>
      <c r="R20" s="177"/>
      <c r="S20" s="177"/>
      <c r="T20" s="177"/>
      <c r="U20" s="177"/>
      <c r="V20" s="177"/>
      <c r="W20" s="177"/>
      <c r="X20" s="144" t="b">
        <f t="shared" si="2"/>
        <v>1</v>
      </c>
      <c r="Y20" s="215">
        <f t="shared" si="3"/>
        <v>0.5</v>
      </c>
      <c r="Z20" s="216" t="b">
        <f t="shared" si="4"/>
        <v>1</v>
      </c>
      <c r="AA20" s="216" t="b">
        <f t="shared" si="5"/>
        <v>1</v>
      </c>
      <c r="AB20" s="35"/>
    </row>
    <row r="21" spans="1:28" s="34" customFormat="1" ht="37.5" customHeight="1">
      <c r="A21" s="227">
        <v>19</v>
      </c>
      <c r="B21" s="228">
        <v>344</v>
      </c>
      <c r="C21" s="227" t="s">
        <v>106</v>
      </c>
      <c r="D21" s="227" t="s">
        <v>110</v>
      </c>
      <c r="E21" s="233" t="s">
        <v>267</v>
      </c>
      <c r="F21" s="234" t="s">
        <v>350</v>
      </c>
      <c r="G21" s="219" t="s">
        <v>49</v>
      </c>
      <c r="H21" s="235">
        <v>1.329</v>
      </c>
      <c r="I21" s="236" t="s">
        <v>269</v>
      </c>
      <c r="J21" s="244">
        <v>3157109.06</v>
      </c>
      <c r="K21" s="205">
        <f t="shared" si="0"/>
        <v>1578554.53</v>
      </c>
      <c r="L21" s="174">
        <f t="shared" si="1"/>
        <v>1578554.53</v>
      </c>
      <c r="M21" s="192">
        <v>0.5</v>
      </c>
      <c r="N21" s="193">
        <v>0</v>
      </c>
      <c r="O21" s="193">
        <v>0</v>
      </c>
      <c r="P21" s="178">
        <v>0</v>
      </c>
      <c r="Q21" s="178">
        <f t="shared" si="6"/>
        <v>1578554.53</v>
      </c>
      <c r="R21" s="177"/>
      <c r="S21" s="177"/>
      <c r="T21" s="177"/>
      <c r="U21" s="177"/>
      <c r="V21" s="177"/>
      <c r="W21" s="177"/>
      <c r="X21" s="144" t="b">
        <f t="shared" si="2"/>
        <v>1</v>
      </c>
      <c r="Y21" s="215">
        <f t="shared" si="3"/>
        <v>0.5</v>
      </c>
      <c r="Z21" s="216" t="b">
        <f t="shared" si="4"/>
        <v>1</v>
      </c>
      <c r="AA21" s="216" t="b">
        <f t="shared" si="5"/>
        <v>1</v>
      </c>
      <c r="AB21" s="35"/>
    </row>
    <row r="22" spans="1:28" s="34" customFormat="1" ht="37.5" customHeight="1">
      <c r="A22" s="220">
        <v>20</v>
      </c>
      <c r="B22" s="220">
        <v>157</v>
      </c>
      <c r="C22" s="220" t="s">
        <v>65</v>
      </c>
      <c r="D22" s="220" t="s">
        <v>68</v>
      </c>
      <c r="E22" s="224" t="s">
        <v>255</v>
      </c>
      <c r="F22" s="221" t="s">
        <v>351</v>
      </c>
      <c r="G22" s="184" t="s">
        <v>49</v>
      </c>
      <c r="H22" s="222">
        <v>5.28</v>
      </c>
      <c r="I22" s="223" t="s">
        <v>303</v>
      </c>
      <c r="J22" s="37">
        <v>6650000</v>
      </c>
      <c r="K22" s="173">
        <f t="shared" si="0"/>
        <v>3325000</v>
      </c>
      <c r="L22" s="37">
        <f t="shared" si="1"/>
        <v>3325000</v>
      </c>
      <c r="M22" s="188">
        <v>0.5</v>
      </c>
      <c r="N22" s="175">
        <v>0</v>
      </c>
      <c r="O22" s="175">
        <v>0</v>
      </c>
      <c r="P22" s="176">
        <v>0</v>
      </c>
      <c r="Q22" s="176">
        <f>1000000*M22</f>
        <v>500000</v>
      </c>
      <c r="R22" s="176">
        <f>4000000*M22</f>
        <v>2000000</v>
      </c>
      <c r="S22" s="176">
        <f>1650000*M22</f>
        <v>825000</v>
      </c>
      <c r="T22" s="176"/>
      <c r="U22" s="176"/>
      <c r="V22" s="176"/>
      <c r="W22" s="176"/>
      <c r="X22" s="144" t="b">
        <f t="shared" si="2"/>
        <v>1</v>
      </c>
      <c r="Y22" s="215">
        <f t="shared" si="3"/>
        <v>0.5</v>
      </c>
      <c r="Z22" s="216" t="b">
        <f t="shared" si="4"/>
        <v>1</v>
      </c>
      <c r="AA22" s="216" t="b">
        <f t="shared" si="5"/>
        <v>1</v>
      </c>
      <c r="AB22" s="35"/>
    </row>
    <row r="23" spans="1:28" s="34" customFormat="1" ht="37.5" customHeight="1">
      <c r="A23" s="227">
        <v>21</v>
      </c>
      <c r="B23" s="228">
        <v>159</v>
      </c>
      <c r="C23" s="227" t="s">
        <v>106</v>
      </c>
      <c r="D23" s="227" t="s">
        <v>68</v>
      </c>
      <c r="E23" s="233" t="s">
        <v>255</v>
      </c>
      <c r="F23" s="234" t="s">
        <v>352</v>
      </c>
      <c r="G23" s="219" t="s">
        <v>49</v>
      </c>
      <c r="H23" s="235">
        <v>4.13</v>
      </c>
      <c r="I23" s="236" t="s">
        <v>269</v>
      </c>
      <c r="J23" s="244">
        <v>6100000</v>
      </c>
      <c r="K23" s="205">
        <f t="shared" si="0"/>
        <v>3050000</v>
      </c>
      <c r="L23" s="174">
        <f t="shared" si="1"/>
        <v>3050000</v>
      </c>
      <c r="M23" s="192">
        <v>0.5</v>
      </c>
      <c r="N23" s="193">
        <v>0</v>
      </c>
      <c r="O23" s="193">
        <v>0</v>
      </c>
      <c r="P23" s="178">
        <v>0</v>
      </c>
      <c r="Q23" s="178">
        <f>K23</f>
        <v>3050000</v>
      </c>
      <c r="R23" s="177"/>
      <c r="S23" s="177"/>
      <c r="T23" s="177"/>
      <c r="U23" s="177"/>
      <c r="V23" s="177"/>
      <c r="W23" s="177"/>
      <c r="X23" s="144" t="b">
        <f t="shared" si="2"/>
        <v>1</v>
      </c>
      <c r="Y23" s="215">
        <f t="shared" si="3"/>
        <v>0.5</v>
      </c>
      <c r="Z23" s="216" t="b">
        <f t="shared" si="4"/>
        <v>1</v>
      </c>
      <c r="AA23" s="216" t="b">
        <f t="shared" si="5"/>
        <v>1</v>
      </c>
      <c r="AB23" s="35"/>
    </row>
    <row r="24" spans="1:28" s="34" customFormat="1" ht="37.5" customHeight="1">
      <c r="A24" s="220">
        <v>22</v>
      </c>
      <c r="B24" s="220">
        <v>107</v>
      </c>
      <c r="C24" s="220" t="s">
        <v>65</v>
      </c>
      <c r="D24" s="220" t="s">
        <v>48</v>
      </c>
      <c r="E24" s="224" t="s">
        <v>111</v>
      </c>
      <c r="F24" s="221" t="s">
        <v>353</v>
      </c>
      <c r="G24" s="184" t="s">
        <v>49</v>
      </c>
      <c r="H24" s="222">
        <v>1.676</v>
      </c>
      <c r="I24" s="223" t="s">
        <v>354</v>
      </c>
      <c r="J24" s="37">
        <v>6062000</v>
      </c>
      <c r="K24" s="173">
        <f t="shared" si="0"/>
        <v>3031000</v>
      </c>
      <c r="L24" s="37">
        <f t="shared" si="1"/>
        <v>3031000</v>
      </c>
      <c r="M24" s="188">
        <v>0.5</v>
      </c>
      <c r="N24" s="175">
        <v>0</v>
      </c>
      <c r="O24" s="175">
        <v>0</v>
      </c>
      <c r="P24" s="176">
        <v>0</v>
      </c>
      <c r="Q24" s="176">
        <f>1500000*M24</f>
        <v>750000</v>
      </c>
      <c r="R24" s="176">
        <f>2562000*M24</f>
        <v>1281000</v>
      </c>
      <c r="S24" s="176">
        <f>2000000*M24</f>
        <v>1000000</v>
      </c>
      <c r="T24" s="176"/>
      <c r="U24" s="176"/>
      <c r="V24" s="176"/>
      <c r="W24" s="176"/>
      <c r="X24" s="144" t="b">
        <f t="shared" si="2"/>
        <v>1</v>
      </c>
      <c r="Y24" s="215">
        <f t="shared" si="3"/>
        <v>0.5</v>
      </c>
      <c r="Z24" s="216" t="b">
        <f t="shared" si="4"/>
        <v>1</v>
      </c>
      <c r="AA24" s="216" t="b">
        <f t="shared" si="5"/>
        <v>1</v>
      </c>
      <c r="AB24" s="35"/>
    </row>
    <row r="25" spans="1:28" s="34" customFormat="1" ht="37.5" customHeight="1">
      <c r="A25" s="220">
        <v>23</v>
      </c>
      <c r="B25" s="220">
        <v>164</v>
      </c>
      <c r="C25" s="220" t="s">
        <v>65</v>
      </c>
      <c r="D25" s="220" t="s">
        <v>68</v>
      </c>
      <c r="E25" s="224" t="s">
        <v>255</v>
      </c>
      <c r="F25" s="221" t="s">
        <v>355</v>
      </c>
      <c r="G25" s="184" t="s">
        <v>50</v>
      </c>
      <c r="H25" s="222">
        <v>3.45</v>
      </c>
      <c r="I25" s="223" t="s">
        <v>303</v>
      </c>
      <c r="J25" s="37">
        <v>4200000</v>
      </c>
      <c r="K25" s="173">
        <f t="shared" si="0"/>
        <v>2100000</v>
      </c>
      <c r="L25" s="37">
        <f t="shared" si="1"/>
        <v>2100000</v>
      </c>
      <c r="M25" s="188">
        <v>0.5</v>
      </c>
      <c r="N25" s="175">
        <v>0</v>
      </c>
      <c r="O25" s="175">
        <v>0</v>
      </c>
      <c r="P25" s="176">
        <v>0</v>
      </c>
      <c r="Q25" s="176">
        <f>130000*M25</f>
        <v>65000</v>
      </c>
      <c r="R25" s="176">
        <f>2000000*M25</f>
        <v>1000000</v>
      </c>
      <c r="S25" s="176">
        <f>2070000*M25</f>
        <v>1035000</v>
      </c>
      <c r="T25" s="176"/>
      <c r="U25" s="176"/>
      <c r="V25" s="176"/>
      <c r="W25" s="176"/>
      <c r="X25" s="144" t="b">
        <f t="shared" si="2"/>
        <v>1</v>
      </c>
      <c r="Y25" s="215">
        <f t="shared" si="3"/>
        <v>0.5</v>
      </c>
      <c r="Z25" s="216" t="b">
        <f t="shared" si="4"/>
        <v>1</v>
      </c>
      <c r="AA25" s="216" t="b">
        <f t="shared" si="5"/>
        <v>1</v>
      </c>
      <c r="AB25" s="35"/>
    </row>
    <row r="26" spans="1:28" s="34" customFormat="1" ht="37.5" customHeight="1">
      <c r="A26" s="227">
        <v>24</v>
      </c>
      <c r="B26" s="227">
        <v>247</v>
      </c>
      <c r="C26" s="227" t="s">
        <v>106</v>
      </c>
      <c r="D26" s="227" t="s">
        <v>101</v>
      </c>
      <c r="E26" s="233" t="s">
        <v>264</v>
      </c>
      <c r="F26" s="234" t="s">
        <v>356</v>
      </c>
      <c r="G26" s="219" t="s">
        <v>50</v>
      </c>
      <c r="H26" s="235">
        <v>2</v>
      </c>
      <c r="I26" s="236" t="s">
        <v>271</v>
      </c>
      <c r="J26" s="244">
        <v>3095000</v>
      </c>
      <c r="K26" s="205">
        <f t="shared" si="0"/>
        <v>1547500</v>
      </c>
      <c r="L26" s="174">
        <f t="shared" si="1"/>
        <v>1547500</v>
      </c>
      <c r="M26" s="192">
        <v>0.5</v>
      </c>
      <c r="N26" s="193">
        <v>0</v>
      </c>
      <c r="O26" s="193">
        <v>0</v>
      </c>
      <c r="P26" s="178">
        <v>0</v>
      </c>
      <c r="Q26" s="178">
        <f>K26</f>
        <v>1547500</v>
      </c>
      <c r="R26" s="177"/>
      <c r="S26" s="177"/>
      <c r="T26" s="177"/>
      <c r="U26" s="177"/>
      <c r="V26" s="177"/>
      <c r="W26" s="177"/>
      <c r="X26" s="144" t="b">
        <f t="shared" si="2"/>
        <v>1</v>
      </c>
      <c r="Y26" s="215">
        <f t="shared" si="3"/>
        <v>0.5</v>
      </c>
      <c r="Z26" s="216" t="b">
        <f t="shared" si="4"/>
        <v>1</v>
      </c>
      <c r="AA26" s="216" t="b">
        <f t="shared" si="5"/>
        <v>1</v>
      </c>
      <c r="AB26" s="35"/>
    </row>
    <row r="27" spans="1:28" s="34" customFormat="1" ht="37.5" customHeight="1">
      <c r="A27" s="227">
        <v>25</v>
      </c>
      <c r="B27" s="228">
        <v>339</v>
      </c>
      <c r="C27" s="227" t="s">
        <v>106</v>
      </c>
      <c r="D27" s="227" t="s">
        <v>110</v>
      </c>
      <c r="E27" s="233" t="s">
        <v>267</v>
      </c>
      <c r="F27" s="234" t="s">
        <v>357</v>
      </c>
      <c r="G27" s="219" t="s">
        <v>75</v>
      </c>
      <c r="H27" s="235">
        <v>1.456</v>
      </c>
      <c r="I27" s="236" t="s">
        <v>269</v>
      </c>
      <c r="J27" s="244">
        <v>1100988.88</v>
      </c>
      <c r="K27" s="205">
        <f t="shared" si="0"/>
        <v>550494.44</v>
      </c>
      <c r="L27" s="174">
        <f t="shared" si="1"/>
        <v>550494.44</v>
      </c>
      <c r="M27" s="192">
        <v>0.5</v>
      </c>
      <c r="N27" s="193">
        <v>0</v>
      </c>
      <c r="O27" s="193">
        <v>0</v>
      </c>
      <c r="P27" s="178">
        <v>0</v>
      </c>
      <c r="Q27" s="178">
        <f>K27</f>
        <v>550494.44</v>
      </c>
      <c r="R27" s="177"/>
      <c r="S27" s="177"/>
      <c r="T27" s="177"/>
      <c r="U27" s="177"/>
      <c r="V27" s="177"/>
      <c r="W27" s="177"/>
      <c r="X27" s="144" t="b">
        <f t="shared" si="2"/>
        <v>1</v>
      </c>
      <c r="Y27" s="215">
        <f t="shared" si="3"/>
        <v>0.5</v>
      </c>
      <c r="Z27" s="216" t="b">
        <f t="shared" si="4"/>
        <v>1</v>
      </c>
      <c r="AA27" s="216" t="b">
        <f t="shared" si="5"/>
        <v>1</v>
      </c>
      <c r="AB27" s="35"/>
    </row>
    <row r="28" spans="1:28" s="34" customFormat="1" ht="37.5" customHeight="1">
      <c r="A28" s="220">
        <v>26</v>
      </c>
      <c r="B28" s="220">
        <v>163</v>
      </c>
      <c r="C28" s="220" t="s">
        <v>65</v>
      </c>
      <c r="D28" s="220" t="s">
        <v>68</v>
      </c>
      <c r="E28" s="224" t="s">
        <v>255</v>
      </c>
      <c r="F28" s="221" t="s">
        <v>358</v>
      </c>
      <c r="G28" s="184" t="s">
        <v>49</v>
      </c>
      <c r="H28" s="222">
        <v>2.36</v>
      </c>
      <c r="I28" s="223" t="s">
        <v>303</v>
      </c>
      <c r="J28" s="37">
        <v>3650000</v>
      </c>
      <c r="K28" s="173">
        <f t="shared" si="0"/>
        <v>1825000</v>
      </c>
      <c r="L28" s="37">
        <f t="shared" si="1"/>
        <v>1825000</v>
      </c>
      <c r="M28" s="188">
        <v>0.5</v>
      </c>
      <c r="N28" s="175">
        <v>0</v>
      </c>
      <c r="O28" s="175">
        <v>0</v>
      </c>
      <c r="P28" s="176">
        <v>0</v>
      </c>
      <c r="Q28" s="176">
        <f>150000*M28</f>
        <v>75000</v>
      </c>
      <c r="R28" s="176">
        <f>1550000*M28</f>
        <v>775000</v>
      </c>
      <c r="S28" s="176">
        <f>1950000*M28</f>
        <v>975000</v>
      </c>
      <c r="T28" s="176"/>
      <c r="U28" s="176"/>
      <c r="V28" s="176"/>
      <c r="W28" s="176"/>
      <c r="X28" s="144" t="b">
        <f t="shared" si="2"/>
        <v>1</v>
      </c>
      <c r="Y28" s="215">
        <f t="shared" si="3"/>
        <v>0.5</v>
      </c>
      <c r="Z28" s="216" t="b">
        <f t="shared" si="4"/>
        <v>1</v>
      </c>
      <c r="AA28" s="216" t="b">
        <f t="shared" si="5"/>
        <v>1</v>
      </c>
      <c r="AB28" s="35"/>
    </row>
    <row r="29" spans="1:28" s="34" customFormat="1" ht="37.5" customHeight="1">
      <c r="A29" s="227">
        <v>27</v>
      </c>
      <c r="B29" s="228">
        <v>249</v>
      </c>
      <c r="C29" s="227" t="s">
        <v>106</v>
      </c>
      <c r="D29" s="227" t="s">
        <v>101</v>
      </c>
      <c r="E29" s="233" t="s">
        <v>264</v>
      </c>
      <c r="F29" s="234" t="s">
        <v>359</v>
      </c>
      <c r="G29" s="219" t="s">
        <v>47</v>
      </c>
      <c r="H29" s="235">
        <v>1.2</v>
      </c>
      <c r="I29" s="236" t="s">
        <v>271</v>
      </c>
      <c r="J29" s="244">
        <v>1753000</v>
      </c>
      <c r="K29" s="205">
        <f t="shared" si="0"/>
        <v>876500</v>
      </c>
      <c r="L29" s="174">
        <f t="shared" si="1"/>
        <v>876500</v>
      </c>
      <c r="M29" s="192">
        <v>0.5</v>
      </c>
      <c r="N29" s="193">
        <v>0</v>
      </c>
      <c r="O29" s="193">
        <v>0</v>
      </c>
      <c r="P29" s="178">
        <v>0</v>
      </c>
      <c r="Q29" s="178">
        <f>K29</f>
        <v>876500</v>
      </c>
      <c r="R29" s="177"/>
      <c r="S29" s="177"/>
      <c r="T29" s="177"/>
      <c r="U29" s="177"/>
      <c r="V29" s="177"/>
      <c r="W29" s="177"/>
      <c r="X29" s="144" t="b">
        <f t="shared" si="2"/>
        <v>1</v>
      </c>
      <c r="Y29" s="215">
        <f t="shared" si="3"/>
        <v>0.5</v>
      </c>
      <c r="Z29" s="216" t="b">
        <f t="shared" si="4"/>
        <v>1</v>
      </c>
      <c r="AA29" s="216" t="b">
        <f t="shared" si="5"/>
        <v>1</v>
      </c>
      <c r="AB29" s="35"/>
    </row>
    <row r="30" spans="1:28" s="34" customFormat="1" ht="37.5" customHeight="1">
      <c r="A30" s="220">
        <v>28</v>
      </c>
      <c r="B30" s="220">
        <v>172</v>
      </c>
      <c r="C30" s="220" t="s">
        <v>65</v>
      </c>
      <c r="D30" s="220" t="s">
        <v>68</v>
      </c>
      <c r="E30" s="224" t="s">
        <v>255</v>
      </c>
      <c r="F30" s="221" t="s">
        <v>360</v>
      </c>
      <c r="G30" s="184" t="s">
        <v>49</v>
      </c>
      <c r="H30" s="222">
        <v>2.79</v>
      </c>
      <c r="I30" s="223" t="s">
        <v>361</v>
      </c>
      <c r="J30" s="37">
        <v>4100000</v>
      </c>
      <c r="K30" s="173">
        <f t="shared" si="0"/>
        <v>2050000</v>
      </c>
      <c r="L30" s="37">
        <f t="shared" si="1"/>
        <v>2050000</v>
      </c>
      <c r="M30" s="188">
        <v>0.5</v>
      </c>
      <c r="N30" s="175">
        <v>0</v>
      </c>
      <c r="O30" s="175">
        <v>0</v>
      </c>
      <c r="P30" s="176">
        <v>0</v>
      </c>
      <c r="Q30" s="176">
        <f>150000*M30</f>
        <v>75000</v>
      </c>
      <c r="R30" s="176">
        <f>1600000*M30</f>
        <v>800000</v>
      </c>
      <c r="S30" s="176">
        <f>2350000*M30</f>
        <v>1175000</v>
      </c>
      <c r="T30" s="176"/>
      <c r="U30" s="176"/>
      <c r="V30" s="176"/>
      <c r="W30" s="176"/>
      <c r="X30" s="144" t="b">
        <f t="shared" si="2"/>
        <v>1</v>
      </c>
      <c r="Y30" s="215">
        <f t="shared" si="3"/>
        <v>0.5</v>
      </c>
      <c r="Z30" s="216" t="b">
        <f t="shared" si="4"/>
        <v>1</v>
      </c>
      <c r="AA30" s="216" t="b">
        <f t="shared" si="5"/>
        <v>1</v>
      </c>
      <c r="AB30" s="35"/>
    </row>
    <row r="31" spans="1:28" s="34" customFormat="1" ht="37.5" customHeight="1">
      <c r="A31" s="220">
        <v>29</v>
      </c>
      <c r="B31" s="220">
        <v>219</v>
      </c>
      <c r="C31" s="220" t="s">
        <v>65</v>
      </c>
      <c r="D31" s="220" t="s">
        <v>292</v>
      </c>
      <c r="E31" s="224" t="s">
        <v>293</v>
      </c>
      <c r="F31" s="221" t="s">
        <v>362</v>
      </c>
      <c r="G31" s="184" t="s">
        <v>49</v>
      </c>
      <c r="H31" s="222">
        <v>6.788</v>
      </c>
      <c r="I31" s="223" t="s">
        <v>363</v>
      </c>
      <c r="J31" s="37">
        <v>11907500</v>
      </c>
      <c r="K31" s="173">
        <f t="shared" si="0"/>
        <v>5953750</v>
      </c>
      <c r="L31" s="37">
        <f t="shared" si="1"/>
        <v>5953750</v>
      </c>
      <c r="M31" s="188">
        <v>0.5</v>
      </c>
      <c r="N31" s="175">
        <v>0</v>
      </c>
      <c r="O31" s="175">
        <v>0</v>
      </c>
      <c r="P31" s="176">
        <v>0</v>
      </c>
      <c r="Q31" s="176">
        <f>7500*M31</f>
        <v>3750</v>
      </c>
      <c r="R31" s="176">
        <f>6045000*M31</f>
        <v>3022500</v>
      </c>
      <c r="S31" s="176">
        <f>5855000*M31</f>
        <v>2927500</v>
      </c>
      <c r="T31" s="176"/>
      <c r="U31" s="176"/>
      <c r="V31" s="176"/>
      <c r="W31" s="176"/>
      <c r="X31" s="144" t="b">
        <f t="shared" si="2"/>
        <v>1</v>
      </c>
      <c r="Y31" s="215">
        <f t="shared" si="3"/>
        <v>0.5</v>
      </c>
      <c r="Z31" s="216" t="b">
        <f t="shared" si="4"/>
        <v>1</v>
      </c>
      <c r="AA31" s="216" t="b">
        <f t="shared" si="5"/>
        <v>1</v>
      </c>
      <c r="AB31" s="35"/>
    </row>
    <row r="32" spans="1:28" s="34" customFormat="1" ht="37.5" customHeight="1">
      <c r="A32" s="227">
        <v>30</v>
      </c>
      <c r="B32" s="228">
        <v>248</v>
      </c>
      <c r="C32" s="227" t="s">
        <v>106</v>
      </c>
      <c r="D32" s="227" t="s">
        <v>101</v>
      </c>
      <c r="E32" s="233" t="s">
        <v>264</v>
      </c>
      <c r="F32" s="234" t="s">
        <v>364</v>
      </c>
      <c r="G32" s="219" t="s">
        <v>47</v>
      </c>
      <c r="H32" s="235">
        <v>1.92</v>
      </c>
      <c r="I32" s="236" t="s">
        <v>271</v>
      </c>
      <c r="J32" s="174">
        <v>3620000</v>
      </c>
      <c r="K32" s="205">
        <f t="shared" si="0"/>
        <v>1810000</v>
      </c>
      <c r="L32" s="174">
        <f t="shared" si="1"/>
        <v>1810000</v>
      </c>
      <c r="M32" s="192">
        <v>0.5</v>
      </c>
      <c r="N32" s="193">
        <v>0</v>
      </c>
      <c r="O32" s="193">
        <v>0</v>
      </c>
      <c r="P32" s="178">
        <v>0</v>
      </c>
      <c r="Q32" s="178">
        <f>K32</f>
        <v>1810000</v>
      </c>
      <c r="R32" s="178"/>
      <c r="S32" s="177"/>
      <c r="T32" s="177"/>
      <c r="U32" s="177"/>
      <c r="V32" s="177"/>
      <c r="W32" s="177"/>
      <c r="X32" s="144" t="b">
        <f t="shared" si="2"/>
        <v>1</v>
      </c>
      <c r="Y32" s="215">
        <f t="shared" si="3"/>
        <v>0.5</v>
      </c>
      <c r="Z32" s="216" t="b">
        <f t="shared" si="4"/>
        <v>1</v>
      </c>
      <c r="AA32" s="216" t="b">
        <f t="shared" si="5"/>
        <v>1</v>
      </c>
      <c r="AB32" s="35"/>
    </row>
    <row r="33" spans="1:28" s="34" customFormat="1" ht="37.5" customHeight="1">
      <c r="A33" s="220">
        <v>31</v>
      </c>
      <c r="B33" s="220">
        <v>215</v>
      </c>
      <c r="C33" s="220" t="s">
        <v>65</v>
      </c>
      <c r="D33" s="220" t="s">
        <v>292</v>
      </c>
      <c r="E33" s="224" t="s">
        <v>293</v>
      </c>
      <c r="F33" s="221" t="s">
        <v>365</v>
      </c>
      <c r="G33" s="184" t="s">
        <v>49</v>
      </c>
      <c r="H33" s="222">
        <v>1.187</v>
      </c>
      <c r="I33" s="223" t="s">
        <v>366</v>
      </c>
      <c r="J33" s="37">
        <v>2873000</v>
      </c>
      <c r="K33" s="173">
        <f t="shared" si="0"/>
        <v>1436500</v>
      </c>
      <c r="L33" s="37">
        <f t="shared" si="1"/>
        <v>1436500</v>
      </c>
      <c r="M33" s="188">
        <v>0.5</v>
      </c>
      <c r="N33" s="175">
        <v>0</v>
      </c>
      <c r="O33" s="175">
        <v>0</v>
      </c>
      <c r="P33" s="176">
        <v>0</v>
      </c>
      <c r="Q33" s="176">
        <f>5000*M33</f>
        <v>2500</v>
      </c>
      <c r="R33" s="176">
        <f>1469000*M33</f>
        <v>734500</v>
      </c>
      <c r="S33" s="176">
        <f>1399000*M33</f>
        <v>699500</v>
      </c>
      <c r="T33" s="176"/>
      <c r="U33" s="176"/>
      <c r="V33" s="176"/>
      <c r="W33" s="176"/>
      <c r="X33" s="144" t="b">
        <f t="shared" si="2"/>
        <v>1</v>
      </c>
      <c r="Y33" s="215">
        <f t="shared" si="3"/>
        <v>0.5</v>
      </c>
      <c r="Z33" s="216" t="b">
        <f t="shared" si="4"/>
        <v>1</v>
      </c>
      <c r="AA33" s="216" t="b">
        <f t="shared" si="5"/>
        <v>1</v>
      </c>
      <c r="AB33" s="35"/>
    </row>
    <row r="34" spans="1:28" s="34" customFormat="1" ht="37.5" customHeight="1">
      <c r="A34" s="227">
        <v>32</v>
      </c>
      <c r="B34" s="228">
        <v>252</v>
      </c>
      <c r="C34" s="227" t="s">
        <v>106</v>
      </c>
      <c r="D34" s="227" t="s">
        <v>101</v>
      </c>
      <c r="E34" s="233" t="s">
        <v>264</v>
      </c>
      <c r="F34" s="234" t="s">
        <v>367</v>
      </c>
      <c r="G34" s="219" t="s">
        <v>47</v>
      </c>
      <c r="H34" s="235">
        <v>0.97</v>
      </c>
      <c r="I34" s="236" t="s">
        <v>271</v>
      </c>
      <c r="J34" s="174">
        <v>2605000</v>
      </c>
      <c r="K34" s="205">
        <f t="shared" si="0"/>
        <v>1302500</v>
      </c>
      <c r="L34" s="174">
        <f t="shared" si="1"/>
        <v>1302500</v>
      </c>
      <c r="M34" s="192">
        <v>0.5</v>
      </c>
      <c r="N34" s="193">
        <v>0</v>
      </c>
      <c r="O34" s="193">
        <v>0</v>
      </c>
      <c r="P34" s="178">
        <v>0</v>
      </c>
      <c r="Q34" s="178">
        <f>K34</f>
        <v>1302500</v>
      </c>
      <c r="R34" s="178"/>
      <c r="S34" s="177"/>
      <c r="T34" s="177"/>
      <c r="U34" s="177"/>
      <c r="V34" s="177"/>
      <c r="W34" s="177"/>
      <c r="X34" s="144" t="b">
        <f t="shared" si="2"/>
        <v>1</v>
      </c>
      <c r="Y34" s="215">
        <f t="shared" si="3"/>
        <v>0.5</v>
      </c>
      <c r="Z34" s="216" t="b">
        <f t="shared" si="4"/>
        <v>1</v>
      </c>
      <c r="AA34" s="216" t="b">
        <f t="shared" si="5"/>
        <v>1</v>
      </c>
      <c r="AB34" s="35"/>
    </row>
    <row r="35" spans="1:28" s="34" customFormat="1" ht="37.5" customHeight="1">
      <c r="A35" s="227">
        <v>33</v>
      </c>
      <c r="B35" s="227">
        <v>217</v>
      </c>
      <c r="C35" s="227" t="s">
        <v>106</v>
      </c>
      <c r="D35" s="227" t="s">
        <v>292</v>
      </c>
      <c r="E35" s="233" t="s">
        <v>293</v>
      </c>
      <c r="F35" s="234" t="s">
        <v>368</v>
      </c>
      <c r="G35" s="219" t="s">
        <v>49</v>
      </c>
      <c r="H35" s="235">
        <v>0.665</v>
      </c>
      <c r="I35" s="236" t="s">
        <v>301</v>
      </c>
      <c r="J35" s="174">
        <v>5744500</v>
      </c>
      <c r="K35" s="205">
        <f aca="true" t="shared" si="7" ref="K35:K65">ROUNDDOWN(J35*M35,2)</f>
        <v>2872250</v>
      </c>
      <c r="L35" s="174">
        <f aca="true" t="shared" si="8" ref="L35:L66">J35-K35</f>
        <v>2872250</v>
      </c>
      <c r="M35" s="192">
        <v>0.5</v>
      </c>
      <c r="N35" s="193">
        <v>0</v>
      </c>
      <c r="O35" s="193">
        <v>0</v>
      </c>
      <c r="P35" s="178">
        <v>0</v>
      </c>
      <c r="Q35" s="178">
        <f>K35</f>
        <v>2872250</v>
      </c>
      <c r="R35" s="178"/>
      <c r="S35" s="177"/>
      <c r="T35" s="177"/>
      <c r="U35" s="177"/>
      <c r="V35" s="177"/>
      <c r="W35" s="177"/>
      <c r="X35" s="144" t="b">
        <f aca="true" t="shared" si="9" ref="X35:X66">K35=SUM(N35:W35)</f>
        <v>1</v>
      </c>
      <c r="Y35" s="215">
        <f aca="true" t="shared" si="10" ref="Y35:Y69">ROUND(K35/J35,4)</f>
        <v>0.5</v>
      </c>
      <c r="Z35" s="216" t="b">
        <f aca="true" t="shared" si="11" ref="Z35:Z66">Y35=M35</f>
        <v>1</v>
      </c>
      <c r="AA35" s="216" t="b">
        <f aca="true" t="shared" si="12" ref="AA35:AA69">J35=K35+L35</f>
        <v>1</v>
      </c>
      <c r="AB35" s="35"/>
    </row>
    <row r="36" spans="1:28" s="34" customFormat="1" ht="37.5" customHeight="1">
      <c r="A36" s="220">
        <v>34</v>
      </c>
      <c r="B36" s="220">
        <v>173</v>
      </c>
      <c r="C36" s="220" t="s">
        <v>65</v>
      </c>
      <c r="D36" s="220" t="s">
        <v>251</v>
      </c>
      <c r="E36" s="224" t="s">
        <v>288</v>
      </c>
      <c r="F36" s="221" t="s">
        <v>183</v>
      </c>
      <c r="G36" s="184" t="s">
        <v>50</v>
      </c>
      <c r="H36" s="222">
        <v>4.296</v>
      </c>
      <c r="I36" s="223" t="s">
        <v>290</v>
      </c>
      <c r="J36" s="37">
        <v>10964956.45</v>
      </c>
      <c r="K36" s="173">
        <f t="shared" si="7"/>
        <v>5482478.22</v>
      </c>
      <c r="L36" s="37">
        <f t="shared" si="8"/>
        <v>5482478.2299999995</v>
      </c>
      <c r="M36" s="188">
        <v>0.5</v>
      </c>
      <c r="N36" s="175">
        <v>0</v>
      </c>
      <c r="O36" s="175">
        <v>0</v>
      </c>
      <c r="P36" s="176">
        <v>0</v>
      </c>
      <c r="Q36" s="176">
        <f>ROUNDDOWN(8421866.46*M36,2)</f>
        <v>4210933.23</v>
      </c>
      <c r="R36" s="176">
        <f>ROUNDDOWN(2543089.99*M36,2)</f>
        <v>1271544.99</v>
      </c>
      <c r="S36" s="176"/>
      <c r="T36" s="176"/>
      <c r="U36" s="176"/>
      <c r="V36" s="176"/>
      <c r="W36" s="176"/>
      <c r="X36" s="144" t="b">
        <f t="shared" si="9"/>
        <v>1</v>
      </c>
      <c r="Y36" s="215">
        <f t="shared" si="10"/>
        <v>0.5</v>
      </c>
      <c r="Z36" s="216" t="b">
        <f t="shared" si="11"/>
        <v>1</v>
      </c>
      <c r="AA36" s="216" t="b">
        <f t="shared" si="12"/>
        <v>1</v>
      </c>
      <c r="AB36" s="35"/>
    </row>
    <row r="37" spans="1:28" s="34" customFormat="1" ht="37.5" customHeight="1">
      <c r="A37" s="227">
        <v>35</v>
      </c>
      <c r="B37" s="227">
        <v>250</v>
      </c>
      <c r="C37" s="227" t="s">
        <v>106</v>
      </c>
      <c r="D37" s="227" t="s">
        <v>101</v>
      </c>
      <c r="E37" s="233" t="s">
        <v>264</v>
      </c>
      <c r="F37" s="234" t="s">
        <v>369</v>
      </c>
      <c r="G37" s="219" t="s">
        <v>50</v>
      </c>
      <c r="H37" s="235">
        <v>1.913</v>
      </c>
      <c r="I37" s="236" t="s">
        <v>370</v>
      </c>
      <c r="J37" s="174">
        <v>3136000</v>
      </c>
      <c r="K37" s="205">
        <f t="shared" si="7"/>
        <v>1568000</v>
      </c>
      <c r="L37" s="174">
        <f t="shared" si="8"/>
        <v>1568000</v>
      </c>
      <c r="M37" s="192">
        <v>0.5</v>
      </c>
      <c r="N37" s="193">
        <v>0</v>
      </c>
      <c r="O37" s="193">
        <v>0</v>
      </c>
      <c r="P37" s="178">
        <v>0</v>
      </c>
      <c r="Q37" s="178">
        <f>K37</f>
        <v>1568000</v>
      </c>
      <c r="R37" s="178"/>
      <c r="S37" s="177"/>
      <c r="T37" s="177"/>
      <c r="U37" s="177"/>
      <c r="V37" s="177"/>
      <c r="W37" s="177"/>
      <c r="X37" s="144" t="b">
        <f t="shared" si="9"/>
        <v>1</v>
      </c>
      <c r="Y37" s="215">
        <f t="shared" si="10"/>
        <v>0.5</v>
      </c>
      <c r="Z37" s="216" t="b">
        <f t="shared" si="11"/>
        <v>1</v>
      </c>
      <c r="AA37" s="216" t="b">
        <f t="shared" si="12"/>
        <v>1</v>
      </c>
      <c r="AB37" s="35"/>
    </row>
    <row r="38" spans="1:28" s="34" customFormat="1" ht="37.5" customHeight="1">
      <c r="A38" s="227">
        <v>36</v>
      </c>
      <c r="B38" s="228">
        <v>174</v>
      </c>
      <c r="C38" s="227" t="s">
        <v>106</v>
      </c>
      <c r="D38" s="227" t="s">
        <v>251</v>
      </c>
      <c r="E38" s="233" t="s">
        <v>288</v>
      </c>
      <c r="F38" s="234" t="s">
        <v>371</v>
      </c>
      <c r="G38" s="219" t="s">
        <v>49</v>
      </c>
      <c r="H38" s="235">
        <v>3.06</v>
      </c>
      <c r="I38" s="236" t="s">
        <v>278</v>
      </c>
      <c r="J38" s="174">
        <v>7717265.65</v>
      </c>
      <c r="K38" s="205">
        <f t="shared" si="7"/>
        <v>3858632.82</v>
      </c>
      <c r="L38" s="174">
        <f t="shared" si="8"/>
        <v>3858632.8300000005</v>
      </c>
      <c r="M38" s="192">
        <v>0.5</v>
      </c>
      <c r="N38" s="193">
        <v>0</v>
      </c>
      <c r="O38" s="193">
        <v>0</v>
      </c>
      <c r="P38" s="178">
        <v>0</v>
      </c>
      <c r="Q38" s="178">
        <f>K38</f>
        <v>3858632.82</v>
      </c>
      <c r="R38" s="178"/>
      <c r="S38" s="177"/>
      <c r="T38" s="177"/>
      <c r="U38" s="177"/>
      <c r="V38" s="177"/>
      <c r="W38" s="177"/>
      <c r="X38" s="144" t="b">
        <f t="shared" si="9"/>
        <v>1</v>
      </c>
      <c r="Y38" s="215">
        <f t="shared" si="10"/>
        <v>0.5</v>
      </c>
      <c r="Z38" s="216" t="b">
        <f t="shared" si="11"/>
        <v>1</v>
      </c>
      <c r="AA38" s="216" t="b">
        <f t="shared" si="12"/>
        <v>1</v>
      </c>
      <c r="AB38" s="35"/>
    </row>
    <row r="39" spans="1:28" s="34" customFormat="1" ht="37.5" customHeight="1">
      <c r="A39" s="227">
        <v>37</v>
      </c>
      <c r="B39" s="228">
        <v>254</v>
      </c>
      <c r="C39" s="227" t="s">
        <v>106</v>
      </c>
      <c r="D39" s="227" t="s">
        <v>101</v>
      </c>
      <c r="E39" s="233" t="s">
        <v>264</v>
      </c>
      <c r="F39" s="234" t="s">
        <v>372</v>
      </c>
      <c r="G39" s="219" t="s">
        <v>50</v>
      </c>
      <c r="H39" s="235">
        <v>0.83</v>
      </c>
      <c r="I39" s="236" t="s">
        <v>271</v>
      </c>
      <c r="J39" s="174">
        <v>2255000</v>
      </c>
      <c r="K39" s="205">
        <f t="shared" si="7"/>
        <v>1127500</v>
      </c>
      <c r="L39" s="174">
        <f t="shared" si="8"/>
        <v>1127500</v>
      </c>
      <c r="M39" s="192">
        <v>0.5</v>
      </c>
      <c r="N39" s="193">
        <v>0</v>
      </c>
      <c r="O39" s="193">
        <v>0</v>
      </c>
      <c r="P39" s="178">
        <v>0</v>
      </c>
      <c r="Q39" s="178">
        <f>K39</f>
        <v>1127500</v>
      </c>
      <c r="R39" s="178"/>
      <c r="S39" s="177"/>
      <c r="T39" s="177"/>
      <c r="U39" s="177"/>
      <c r="V39" s="177"/>
      <c r="W39" s="177"/>
      <c r="X39" s="144" t="b">
        <f t="shared" si="9"/>
        <v>1</v>
      </c>
      <c r="Y39" s="215">
        <f t="shared" si="10"/>
        <v>0.5</v>
      </c>
      <c r="Z39" s="216" t="b">
        <f t="shared" si="11"/>
        <v>1</v>
      </c>
      <c r="AA39" s="216" t="b">
        <f t="shared" si="12"/>
        <v>1</v>
      </c>
      <c r="AB39" s="35"/>
    </row>
    <row r="40" spans="1:28" s="34" customFormat="1" ht="37.5" customHeight="1">
      <c r="A40" s="220">
        <v>38</v>
      </c>
      <c r="B40" s="220">
        <v>110</v>
      </c>
      <c r="C40" s="220" t="s">
        <v>65</v>
      </c>
      <c r="D40" s="220" t="s">
        <v>48</v>
      </c>
      <c r="E40" s="224" t="s">
        <v>111</v>
      </c>
      <c r="F40" s="221" t="s">
        <v>373</v>
      </c>
      <c r="G40" s="184" t="s">
        <v>49</v>
      </c>
      <c r="H40" s="222">
        <v>2.215</v>
      </c>
      <c r="I40" s="223" t="s">
        <v>263</v>
      </c>
      <c r="J40" s="37">
        <v>3970000</v>
      </c>
      <c r="K40" s="173">
        <f t="shared" si="7"/>
        <v>1985000</v>
      </c>
      <c r="L40" s="37">
        <f t="shared" si="8"/>
        <v>1985000</v>
      </c>
      <c r="M40" s="188">
        <v>0.5</v>
      </c>
      <c r="N40" s="175">
        <v>0</v>
      </c>
      <c r="O40" s="175">
        <v>0</v>
      </c>
      <c r="P40" s="176">
        <v>0</v>
      </c>
      <c r="Q40" s="176">
        <f>1470000*M40</f>
        <v>735000</v>
      </c>
      <c r="R40" s="176">
        <f>1500000*M40</f>
        <v>750000</v>
      </c>
      <c r="S40" s="176">
        <f>1000000*M40</f>
        <v>500000</v>
      </c>
      <c r="T40" s="176"/>
      <c r="U40" s="176"/>
      <c r="V40" s="176"/>
      <c r="W40" s="176"/>
      <c r="X40" s="144" t="b">
        <f t="shared" si="9"/>
        <v>1</v>
      </c>
      <c r="Y40" s="215">
        <f t="shared" si="10"/>
        <v>0.5</v>
      </c>
      <c r="Z40" s="216" t="b">
        <f t="shared" si="11"/>
        <v>1</v>
      </c>
      <c r="AA40" s="216" t="b">
        <f t="shared" si="12"/>
        <v>1</v>
      </c>
      <c r="AB40" s="35"/>
    </row>
    <row r="41" spans="1:28" s="34" customFormat="1" ht="37.5" customHeight="1">
      <c r="A41" s="227">
        <v>39</v>
      </c>
      <c r="B41" s="228">
        <v>260</v>
      </c>
      <c r="C41" s="227" t="s">
        <v>106</v>
      </c>
      <c r="D41" s="227" t="s">
        <v>101</v>
      </c>
      <c r="E41" s="233" t="s">
        <v>264</v>
      </c>
      <c r="F41" s="234" t="s">
        <v>374</v>
      </c>
      <c r="G41" s="219" t="s">
        <v>47</v>
      </c>
      <c r="H41" s="235">
        <v>1.1</v>
      </c>
      <c r="I41" s="236" t="s">
        <v>271</v>
      </c>
      <c r="J41" s="244">
        <v>1560000</v>
      </c>
      <c r="K41" s="205">
        <f t="shared" si="7"/>
        <v>780000</v>
      </c>
      <c r="L41" s="174">
        <f t="shared" si="8"/>
        <v>780000</v>
      </c>
      <c r="M41" s="192">
        <v>0.5</v>
      </c>
      <c r="N41" s="193">
        <v>0</v>
      </c>
      <c r="O41" s="193">
        <v>0</v>
      </c>
      <c r="P41" s="178">
        <v>0</v>
      </c>
      <c r="Q41" s="178">
        <f>K41</f>
        <v>780000</v>
      </c>
      <c r="R41" s="177"/>
      <c r="S41" s="177"/>
      <c r="T41" s="177"/>
      <c r="U41" s="177"/>
      <c r="V41" s="177"/>
      <c r="W41" s="177"/>
      <c r="X41" s="144" t="b">
        <f t="shared" si="9"/>
        <v>1</v>
      </c>
      <c r="Y41" s="215">
        <f t="shared" si="10"/>
        <v>0.5</v>
      </c>
      <c r="Z41" s="216" t="b">
        <f t="shared" si="11"/>
        <v>1</v>
      </c>
      <c r="AA41" s="216" t="b">
        <f t="shared" si="12"/>
        <v>1</v>
      </c>
      <c r="AB41" s="35"/>
    </row>
    <row r="42" spans="1:28" s="34" customFormat="1" ht="37.5" customHeight="1">
      <c r="A42" s="227">
        <v>40</v>
      </c>
      <c r="B42" s="228">
        <v>255</v>
      </c>
      <c r="C42" s="227" t="s">
        <v>106</v>
      </c>
      <c r="D42" s="227" t="s">
        <v>101</v>
      </c>
      <c r="E42" s="233" t="s">
        <v>264</v>
      </c>
      <c r="F42" s="234" t="s">
        <v>375</v>
      </c>
      <c r="G42" s="219" t="s">
        <v>47</v>
      </c>
      <c r="H42" s="235">
        <v>0.98</v>
      </c>
      <c r="I42" s="236" t="s">
        <v>307</v>
      </c>
      <c r="J42" s="244">
        <v>1823000</v>
      </c>
      <c r="K42" s="205">
        <f t="shared" si="7"/>
        <v>911500</v>
      </c>
      <c r="L42" s="174">
        <f t="shared" si="8"/>
        <v>911500</v>
      </c>
      <c r="M42" s="192">
        <v>0.5</v>
      </c>
      <c r="N42" s="193">
        <v>0</v>
      </c>
      <c r="O42" s="193">
        <v>0</v>
      </c>
      <c r="P42" s="178">
        <v>0</v>
      </c>
      <c r="Q42" s="178">
        <f>K42</f>
        <v>911500</v>
      </c>
      <c r="R42" s="178"/>
      <c r="S42" s="177"/>
      <c r="T42" s="177"/>
      <c r="U42" s="177"/>
      <c r="V42" s="177"/>
      <c r="W42" s="177"/>
      <c r="X42" s="144" t="b">
        <f t="shared" si="9"/>
        <v>1</v>
      </c>
      <c r="Y42" s="215">
        <f t="shared" si="10"/>
        <v>0.5</v>
      </c>
      <c r="Z42" s="216" t="b">
        <f t="shared" si="11"/>
        <v>1</v>
      </c>
      <c r="AA42" s="216" t="b">
        <f t="shared" si="12"/>
        <v>1</v>
      </c>
      <c r="AB42" s="35"/>
    </row>
    <row r="43" spans="1:28" s="34" customFormat="1" ht="37.5" customHeight="1">
      <c r="A43" s="227">
        <v>41</v>
      </c>
      <c r="B43" s="227">
        <v>340</v>
      </c>
      <c r="C43" s="227" t="s">
        <v>106</v>
      </c>
      <c r="D43" s="227" t="s">
        <v>110</v>
      </c>
      <c r="E43" s="233" t="s">
        <v>267</v>
      </c>
      <c r="F43" s="234" t="s">
        <v>376</v>
      </c>
      <c r="G43" s="219" t="s">
        <v>50</v>
      </c>
      <c r="H43" s="235">
        <v>3.01</v>
      </c>
      <c r="I43" s="236" t="s">
        <v>269</v>
      </c>
      <c r="J43" s="244">
        <v>3743553.92</v>
      </c>
      <c r="K43" s="205">
        <f t="shared" si="7"/>
        <v>1871776.96</v>
      </c>
      <c r="L43" s="174">
        <f t="shared" si="8"/>
        <v>1871776.96</v>
      </c>
      <c r="M43" s="192">
        <v>0.5</v>
      </c>
      <c r="N43" s="193">
        <v>0</v>
      </c>
      <c r="O43" s="193">
        <v>0</v>
      </c>
      <c r="P43" s="178">
        <v>0</v>
      </c>
      <c r="Q43" s="178">
        <f>K43</f>
        <v>1871776.96</v>
      </c>
      <c r="R43" s="178"/>
      <c r="S43" s="177"/>
      <c r="T43" s="177"/>
      <c r="U43" s="177"/>
      <c r="V43" s="177"/>
      <c r="W43" s="177"/>
      <c r="X43" s="144" t="b">
        <f t="shared" si="9"/>
        <v>1</v>
      </c>
      <c r="Y43" s="215">
        <f t="shared" si="10"/>
        <v>0.5</v>
      </c>
      <c r="Z43" s="216" t="b">
        <f t="shared" si="11"/>
        <v>1</v>
      </c>
      <c r="AA43" s="216" t="b">
        <f t="shared" si="12"/>
        <v>1</v>
      </c>
      <c r="AB43" s="35"/>
    </row>
    <row r="44" spans="1:28" s="34" customFormat="1" ht="37.5" customHeight="1">
      <c r="A44" s="220">
        <v>42</v>
      </c>
      <c r="B44" s="220">
        <v>167</v>
      </c>
      <c r="C44" s="220" t="s">
        <v>65</v>
      </c>
      <c r="D44" s="220" t="s">
        <v>68</v>
      </c>
      <c r="E44" s="224" t="s">
        <v>255</v>
      </c>
      <c r="F44" s="221" t="s">
        <v>377</v>
      </c>
      <c r="G44" s="184" t="s">
        <v>50</v>
      </c>
      <c r="H44" s="222">
        <v>1.38</v>
      </c>
      <c r="I44" s="223" t="s">
        <v>285</v>
      </c>
      <c r="J44" s="37">
        <v>2100000</v>
      </c>
      <c r="K44" s="173">
        <f t="shared" si="7"/>
        <v>1050000</v>
      </c>
      <c r="L44" s="37">
        <f t="shared" si="8"/>
        <v>1050000</v>
      </c>
      <c r="M44" s="188">
        <v>0.5</v>
      </c>
      <c r="N44" s="175">
        <v>0</v>
      </c>
      <c r="O44" s="175">
        <v>0</v>
      </c>
      <c r="P44" s="176">
        <v>0</v>
      </c>
      <c r="Q44" s="176">
        <f>90000*M44</f>
        <v>45000</v>
      </c>
      <c r="R44" s="176">
        <f>1000000*M44</f>
        <v>500000</v>
      </c>
      <c r="S44" s="176">
        <f>1010000*M44</f>
        <v>505000</v>
      </c>
      <c r="T44" s="176"/>
      <c r="U44" s="176"/>
      <c r="V44" s="176"/>
      <c r="W44" s="176"/>
      <c r="X44" s="144" t="b">
        <f t="shared" si="9"/>
        <v>1</v>
      </c>
      <c r="Y44" s="215">
        <f t="shared" si="10"/>
        <v>0.5</v>
      </c>
      <c r="Z44" s="216" t="b">
        <f t="shared" si="11"/>
        <v>1</v>
      </c>
      <c r="AA44" s="216" t="b">
        <f t="shared" si="12"/>
        <v>1</v>
      </c>
      <c r="AB44" s="35"/>
    </row>
    <row r="45" spans="1:28" s="34" customFormat="1" ht="37.5" customHeight="1">
      <c r="A45" s="227">
        <v>43</v>
      </c>
      <c r="B45" s="227">
        <v>259</v>
      </c>
      <c r="C45" s="227" t="s">
        <v>106</v>
      </c>
      <c r="D45" s="227" t="s">
        <v>101</v>
      </c>
      <c r="E45" s="233" t="s">
        <v>264</v>
      </c>
      <c r="F45" s="234" t="s">
        <v>378</v>
      </c>
      <c r="G45" s="219" t="s">
        <v>47</v>
      </c>
      <c r="H45" s="235">
        <v>1.5</v>
      </c>
      <c r="I45" s="236" t="s">
        <v>271</v>
      </c>
      <c r="J45" s="174">
        <v>2206000</v>
      </c>
      <c r="K45" s="205">
        <f t="shared" si="7"/>
        <v>1103000</v>
      </c>
      <c r="L45" s="174">
        <f t="shared" si="8"/>
        <v>1103000</v>
      </c>
      <c r="M45" s="192">
        <v>0.5</v>
      </c>
      <c r="N45" s="193">
        <v>0</v>
      </c>
      <c r="O45" s="193">
        <v>0</v>
      </c>
      <c r="P45" s="178">
        <v>0</v>
      </c>
      <c r="Q45" s="178">
        <f>K45</f>
        <v>1103000</v>
      </c>
      <c r="R45" s="177"/>
      <c r="S45" s="177"/>
      <c r="T45" s="177"/>
      <c r="U45" s="177"/>
      <c r="V45" s="177"/>
      <c r="W45" s="177"/>
      <c r="X45" s="144" t="b">
        <f t="shared" si="9"/>
        <v>1</v>
      </c>
      <c r="Y45" s="215">
        <f t="shared" si="10"/>
        <v>0.5</v>
      </c>
      <c r="Z45" s="216" t="b">
        <f t="shared" si="11"/>
        <v>1</v>
      </c>
      <c r="AA45" s="216" t="b">
        <f t="shared" si="12"/>
        <v>1</v>
      </c>
      <c r="AB45" s="35"/>
    </row>
    <row r="46" spans="1:28" s="34" customFormat="1" ht="37.5" customHeight="1">
      <c r="A46" s="220">
        <v>44</v>
      </c>
      <c r="B46" s="220">
        <v>160</v>
      </c>
      <c r="C46" s="220" t="s">
        <v>65</v>
      </c>
      <c r="D46" s="220" t="s">
        <v>68</v>
      </c>
      <c r="E46" s="224" t="s">
        <v>255</v>
      </c>
      <c r="F46" s="221" t="s">
        <v>379</v>
      </c>
      <c r="G46" s="184" t="s">
        <v>50</v>
      </c>
      <c r="H46" s="222">
        <v>0.8</v>
      </c>
      <c r="I46" s="223" t="s">
        <v>285</v>
      </c>
      <c r="J46" s="37">
        <v>1260000</v>
      </c>
      <c r="K46" s="173">
        <f t="shared" si="7"/>
        <v>630000</v>
      </c>
      <c r="L46" s="37">
        <f t="shared" si="8"/>
        <v>630000</v>
      </c>
      <c r="M46" s="188">
        <v>0.5</v>
      </c>
      <c r="N46" s="175">
        <v>0</v>
      </c>
      <c r="O46" s="175">
        <v>0</v>
      </c>
      <c r="P46" s="176">
        <v>0</v>
      </c>
      <c r="Q46" s="176">
        <f>58000*M46</f>
        <v>29000</v>
      </c>
      <c r="R46" s="176">
        <f>500000*M46</f>
        <v>250000</v>
      </c>
      <c r="S46" s="176">
        <f>702000*M46</f>
        <v>351000</v>
      </c>
      <c r="T46" s="176"/>
      <c r="U46" s="176"/>
      <c r="V46" s="176"/>
      <c r="W46" s="176"/>
      <c r="X46" s="144" t="b">
        <f t="shared" si="9"/>
        <v>1</v>
      </c>
      <c r="Y46" s="215">
        <f t="shared" si="10"/>
        <v>0.5</v>
      </c>
      <c r="Z46" s="216" t="b">
        <f t="shared" si="11"/>
        <v>1</v>
      </c>
      <c r="AA46" s="216" t="b">
        <f t="shared" si="12"/>
        <v>1</v>
      </c>
      <c r="AB46" s="35"/>
    </row>
    <row r="47" spans="1:27" s="3" customFormat="1" ht="37.5" customHeight="1">
      <c r="A47" s="227">
        <v>45</v>
      </c>
      <c r="B47" s="228">
        <v>116</v>
      </c>
      <c r="C47" s="227" t="s">
        <v>106</v>
      </c>
      <c r="D47" s="227" t="s">
        <v>48</v>
      </c>
      <c r="E47" s="233" t="s">
        <v>111</v>
      </c>
      <c r="F47" s="234" t="s">
        <v>380</v>
      </c>
      <c r="G47" s="219" t="s">
        <v>50</v>
      </c>
      <c r="H47" s="262">
        <v>0.592</v>
      </c>
      <c r="I47" s="236" t="s">
        <v>280</v>
      </c>
      <c r="J47" s="174">
        <v>1367164.12</v>
      </c>
      <c r="K47" s="205">
        <f t="shared" si="7"/>
        <v>683582.06</v>
      </c>
      <c r="L47" s="174">
        <f t="shared" si="8"/>
        <v>683582.06</v>
      </c>
      <c r="M47" s="192">
        <v>0.5</v>
      </c>
      <c r="N47" s="193">
        <v>0</v>
      </c>
      <c r="O47" s="193">
        <v>0</v>
      </c>
      <c r="P47" s="178">
        <v>0</v>
      </c>
      <c r="Q47" s="178">
        <f>K47</f>
        <v>683582.06</v>
      </c>
      <c r="R47" s="177"/>
      <c r="S47" s="177"/>
      <c r="T47" s="177"/>
      <c r="U47" s="177"/>
      <c r="V47" s="177"/>
      <c r="W47" s="177"/>
      <c r="X47" s="144" t="b">
        <f t="shared" si="9"/>
        <v>1</v>
      </c>
      <c r="Y47" s="215">
        <f t="shared" si="10"/>
        <v>0.5</v>
      </c>
      <c r="Z47" s="216" t="b">
        <f t="shared" si="11"/>
        <v>1</v>
      </c>
      <c r="AA47" s="216" t="b">
        <f t="shared" si="12"/>
        <v>1</v>
      </c>
    </row>
    <row r="48" spans="1:27" s="3" customFormat="1" ht="37.5" customHeight="1">
      <c r="A48" s="220">
        <v>46</v>
      </c>
      <c r="B48" s="220">
        <v>187</v>
      </c>
      <c r="C48" s="220" t="s">
        <v>65</v>
      </c>
      <c r="D48" s="220" t="s">
        <v>125</v>
      </c>
      <c r="E48" s="224" t="s">
        <v>126</v>
      </c>
      <c r="F48" s="221" t="s">
        <v>381</v>
      </c>
      <c r="G48" s="184" t="s">
        <v>47</v>
      </c>
      <c r="H48" s="222">
        <v>3.035</v>
      </c>
      <c r="I48" s="223" t="s">
        <v>382</v>
      </c>
      <c r="J48" s="37">
        <v>5553900</v>
      </c>
      <c r="K48" s="173">
        <f t="shared" si="7"/>
        <v>2776950</v>
      </c>
      <c r="L48" s="37">
        <f t="shared" si="8"/>
        <v>2776950</v>
      </c>
      <c r="M48" s="188">
        <v>0.5</v>
      </c>
      <c r="N48" s="175">
        <v>0</v>
      </c>
      <c r="O48" s="175">
        <v>0</v>
      </c>
      <c r="P48" s="176">
        <v>0</v>
      </c>
      <c r="Q48" s="176">
        <f>1851300*M48</f>
        <v>925650</v>
      </c>
      <c r="R48" s="176">
        <f>1851300*M48</f>
        <v>925650</v>
      </c>
      <c r="S48" s="176">
        <f>1851300*M48</f>
        <v>925650</v>
      </c>
      <c r="T48" s="176"/>
      <c r="U48" s="176"/>
      <c r="V48" s="176"/>
      <c r="W48" s="176"/>
      <c r="X48" s="144" t="b">
        <f t="shared" si="9"/>
        <v>1</v>
      </c>
      <c r="Y48" s="215">
        <f t="shared" si="10"/>
        <v>0.5</v>
      </c>
      <c r="Z48" s="216" t="b">
        <f t="shared" si="11"/>
        <v>1</v>
      </c>
      <c r="AA48" s="216" t="b">
        <f t="shared" si="12"/>
        <v>1</v>
      </c>
    </row>
    <row r="49" spans="1:27" s="3" customFormat="1" ht="37.5" customHeight="1">
      <c r="A49" s="227">
        <v>47</v>
      </c>
      <c r="B49" s="228">
        <v>158</v>
      </c>
      <c r="C49" s="227" t="s">
        <v>106</v>
      </c>
      <c r="D49" s="227" t="s">
        <v>68</v>
      </c>
      <c r="E49" s="233" t="s">
        <v>255</v>
      </c>
      <c r="F49" s="234" t="s">
        <v>383</v>
      </c>
      <c r="G49" s="219" t="s">
        <v>50</v>
      </c>
      <c r="H49" s="235">
        <v>0.874</v>
      </c>
      <c r="I49" s="236" t="s">
        <v>269</v>
      </c>
      <c r="J49" s="244">
        <v>1500000</v>
      </c>
      <c r="K49" s="205">
        <f t="shared" si="7"/>
        <v>750000</v>
      </c>
      <c r="L49" s="174">
        <f t="shared" si="8"/>
        <v>750000</v>
      </c>
      <c r="M49" s="192">
        <v>0.5</v>
      </c>
      <c r="N49" s="193">
        <v>0</v>
      </c>
      <c r="O49" s="193">
        <v>0</v>
      </c>
      <c r="P49" s="178">
        <v>0</v>
      </c>
      <c r="Q49" s="178">
        <f>K49</f>
        <v>750000</v>
      </c>
      <c r="R49" s="177"/>
      <c r="S49" s="177"/>
      <c r="T49" s="177"/>
      <c r="U49" s="177"/>
      <c r="V49" s="177"/>
      <c r="W49" s="177"/>
      <c r="X49" s="144" t="b">
        <f t="shared" si="9"/>
        <v>1</v>
      </c>
      <c r="Y49" s="215">
        <f t="shared" si="10"/>
        <v>0.5</v>
      </c>
      <c r="Z49" s="216" t="b">
        <f t="shared" si="11"/>
        <v>1</v>
      </c>
      <c r="AA49" s="216" t="b">
        <f t="shared" si="12"/>
        <v>1</v>
      </c>
    </row>
    <row r="50" spans="1:27" s="3" customFormat="1" ht="37.5" customHeight="1">
      <c r="A50" s="220">
        <v>48</v>
      </c>
      <c r="B50" s="220">
        <v>171</v>
      </c>
      <c r="C50" s="220" t="s">
        <v>65</v>
      </c>
      <c r="D50" s="220" t="s">
        <v>68</v>
      </c>
      <c r="E50" s="224" t="s">
        <v>255</v>
      </c>
      <c r="F50" s="221" t="s">
        <v>384</v>
      </c>
      <c r="G50" s="184" t="s">
        <v>50</v>
      </c>
      <c r="H50" s="222">
        <v>1.882</v>
      </c>
      <c r="I50" s="223" t="s">
        <v>385</v>
      </c>
      <c r="J50" s="37">
        <v>2300000</v>
      </c>
      <c r="K50" s="173">
        <f t="shared" si="7"/>
        <v>1150000</v>
      </c>
      <c r="L50" s="37">
        <f t="shared" si="8"/>
        <v>1150000</v>
      </c>
      <c r="M50" s="188">
        <v>0.5</v>
      </c>
      <c r="N50" s="175">
        <v>0</v>
      </c>
      <c r="O50" s="175">
        <v>0</v>
      </c>
      <c r="P50" s="176">
        <v>0</v>
      </c>
      <c r="Q50" s="176">
        <f>800000*M50</f>
        <v>400000</v>
      </c>
      <c r="R50" s="176">
        <f>1500000*M50</f>
        <v>750000</v>
      </c>
      <c r="S50" s="176"/>
      <c r="T50" s="176"/>
      <c r="U50" s="176"/>
      <c r="V50" s="176"/>
      <c r="W50" s="176"/>
      <c r="X50" s="144" t="b">
        <f t="shared" si="9"/>
        <v>1</v>
      </c>
      <c r="Y50" s="215">
        <f t="shared" si="10"/>
        <v>0.5</v>
      </c>
      <c r="Z50" s="216" t="b">
        <f t="shared" si="11"/>
        <v>1</v>
      </c>
      <c r="AA50" s="216" t="b">
        <f t="shared" si="12"/>
        <v>1</v>
      </c>
    </row>
    <row r="51" spans="1:27" s="3" customFormat="1" ht="37.5" customHeight="1">
      <c r="A51" s="220">
        <v>49</v>
      </c>
      <c r="B51" s="220">
        <v>162</v>
      </c>
      <c r="C51" s="220" t="s">
        <v>65</v>
      </c>
      <c r="D51" s="220" t="s">
        <v>68</v>
      </c>
      <c r="E51" s="224" t="s">
        <v>255</v>
      </c>
      <c r="F51" s="221" t="s">
        <v>386</v>
      </c>
      <c r="G51" s="184" t="s">
        <v>50</v>
      </c>
      <c r="H51" s="222">
        <v>0.9</v>
      </c>
      <c r="I51" s="223" t="s">
        <v>285</v>
      </c>
      <c r="J51" s="37">
        <v>1160000</v>
      </c>
      <c r="K51" s="173">
        <f t="shared" si="7"/>
        <v>580000</v>
      </c>
      <c r="L51" s="37">
        <f t="shared" si="8"/>
        <v>580000</v>
      </c>
      <c r="M51" s="188">
        <v>0.5</v>
      </c>
      <c r="N51" s="175">
        <v>0</v>
      </c>
      <c r="O51" s="175">
        <v>0</v>
      </c>
      <c r="P51" s="176">
        <v>0</v>
      </c>
      <c r="Q51" s="176">
        <f>58000*M51</f>
        <v>29000</v>
      </c>
      <c r="R51" s="176">
        <f>400000*M51</f>
        <v>200000</v>
      </c>
      <c r="S51" s="176">
        <f>702000*M51</f>
        <v>351000</v>
      </c>
      <c r="T51" s="176"/>
      <c r="U51" s="176"/>
      <c r="V51" s="176"/>
      <c r="W51" s="176"/>
      <c r="X51" s="144" t="b">
        <f t="shared" si="9"/>
        <v>1</v>
      </c>
      <c r="Y51" s="215">
        <f t="shared" si="10"/>
        <v>0.5</v>
      </c>
      <c r="Z51" s="216" t="b">
        <f t="shared" si="11"/>
        <v>1</v>
      </c>
      <c r="AA51" s="216" t="b">
        <f t="shared" si="12"/>
        <v>1</v>
      </c>
    </row>
    <row r="52" spans="1:27" s="3" customFormat="1" ht="37.5" customHeight="1">
      <c r="A52" s="227">
        <v>50</v>
      </c>
      <c r="B52" s="228">
        <v>246</v>
      </c>
      <c r="C52" s="227" t="s">
        <v>106</v>
      </c>
      <c r="D52" s="227" t="s">
        <v>101</v>
      </c>
      <c r="E52" s="233" t="s">
        <v>264</v>
      </c>
      <c r="F52" s="234" t="s">
        <v>387</v>
      </c>
      <c r="G52" s="219" t="s">
        <v>75</v>
      </c>
      <c r="H52" s="235">
        <v>1.6</v>
      </c>
      <c r="I52" s="236" t="s">
        <v>271</v>
      </c>
      <c r="J52" s="174">
        <v>1835000</v>
      </c>
      <c r="K52" s="205">
        <f t="shared" si="7"/>
        <v>917500</v>
      </c>
      <c r="L52" s="174">
        <f t="shared" si="8"/>
        <v>917500</v>
      </c>
      <c r="M52" s="192">
        <v>0.5</v>
      </c>
      <c r="N52" s="193">
        <v>0</v>
      </c>
      <c r="O52" s="193">
        <v>0</v>
      </c>
      <c r="P52" s="178">
        <v>0</v>
      </c>
      <c r="Q52" s="178">
        <f>K52</f>
        <v>917500</v>
      </c>
      <c r="R52" s="178"/>
      <c r="S52" s="177"/>
      <c r="T52" s="177"/>
      <c r="U52" s="177"/>
      <c r="V52" s="177"/>
      <c r="W52" s="177"/>
      <c r="X52" s="144" t="b">
        <f t="shared" si="9"/>
        <v>1</v>
      </c>
      <c r="Y52" s="215">
        <f t="shared" si="10"/>
        <v>0.5</v>
      </c>
      <c r="Z52" s="216" t="b">
        <f t="shared" si="11"/>
        <v>1</v>
      </c>
      <c r="AA52" s="216" t="b">
        <f t="shared" si="12"/>
        <v>1</v>
      </c>
    </row>
    <row r="53" spans="1:27" s="3" customFormat="1" ht="37.5" customHeight="1">
      <c r="A53" s="220">
        <v>51</v>
      </c>
      <c r="B53" s="220">
        <v>125</v>
      </c>
      <c r="C53" s="220" t="s">
        <v>65</v>
      </c>
      <c r="D53" s="220" t="s">
        <v>48</v>
      </c>
      <c r="E53" s="224" t="s">
        <v>111</v>
      </c>
      <c r="F53" s="221" t="s">
        <v>389</v>
      </c>
      <c r="G53" s="184" t="s">
        <v>49</v>
      </c>
      <c r="H53" s="222">
        <v>1.538</v>
      </c>
      <c r="I53" s="223" t="s">
        <v>263</v>
      </c>
      <c r="J53" s="37">
        <v>3975000</v>
      </c>
      <c r="K53" s="173">
        <f t="shared" si="7"/>
        <v>1987500</v>
      </c>
      <c r="L53" s="37">
        <f t="shared" si="8"/>
        <v>1987500</v>
      </c>
      <c r="M53" s="188">
        <v>0.5</v>
      </c>
      <c r="N53" s="175">
        <v>0</v>
      </c>
      <c r="O53" s="175">
        <v>0</v>
      </c>
      <c r="P53" s="176">
        <v>0</v>
      </c>
      <c r="Q53" s="176">
        <f>1075000*M53</f>
        <v>537500</v>
      </c>
      <c r="R53" s="176">
        <f>2000000*M53</f>
        <v>1000000</v>
      </c>
      <c r="S53" s="176">
        <f>900000*M53</f>
        <v>450000</v>
      </c>
      <c r="T53" s="176"/>
      <c r="U53" s="176"/>
      <c r="V53" s="176"/>
      <c r="W53" s="176"/>
      <c r="X53" s="144" t="b">
        <f t="shared" si="9"/>
        <v>1</v>
      </c>
      <c r="Y53" s="215">
        <f t="shared" si="10"/>
        <v>0.5</v>
      </c>
      <c r="Z53" s="216" t="b">
        <f t="shared" si="11"/>
        <v>1</v>
      </c>
      <c r="AA53" s="216" t="b">
        <f t="shared" si="12"/>
        <v>1</v>
      </c>
    </row>
    <row r="54" spans="1:27" s="3" customFormat="1" ht="37.5" customHeight="1">
      <c r="A54" s="227">
        <v>52</v>
      </c>
      <c r="B54" s="227">
        <v>262</v>
      </c>
      <c r="C54" s="227" t="s">
        <v>106</v>
      </c>
      <c r="D54" s="227" t="s">
        <v>101</v>
      </c>
      <c r="E54" s="233" t="s">
        <v>264</v>
      </c>
      <c r="F54" s="234" t="s">
        <v>390</v>
      </c>
      <c r="G54" s="219" t="s">
        <v>75</v>
      </c>
      <c r="H54" s="235">
        <v>0.55</v>
      </c>
      <c r="I54" s="236" t="s">
        <v>271</v>
      </c>
      <c r="J54" s="174">
        <v>675000</v>
      </c>
      <c r="K54" s="205">
        <f t="shared" si="7"/>
        <v>337500</v>
      </c>
      <c r="L54" s="174">
        <f t="shared" si="8"/>
        <v>337500</v>
      </c>
      <c r="M54" s="192">
        <v>0.5</v>
      </c>
      <c r="N54" s="193">
        <v>0</v>
      </c>
      <c r="O54" s="193">
        <v>0</v>
      </c>
      <c r="P54" s="178">
        <v>0</v>
      </c>
      <c r="Q54" s="178">
        <f aca="true" t="shared" si="13" ref="Q54:Q59">K54</f>
        <v>337500</v>
      </c>
      <c r="R54" s="177"/>
      <c r="S54" s="177"/>
      <c r="T54" s="177"/>
      <c r="U54" s="177"/>
      <c r="V54" s="177"/>
      <c r="W54" s="177"/>
      <c r="X54" s="144" t="b">
        <f t="shared" si="9"/>
        <v>1</v>
      </c>
      <c r="Y54" s="215">
        <f t="shared" si="10"/>
        <v>0.5</v>
      </c>
      <c r="Z54" s="216" t="b">
        <f t="shared" si="11"/>
        <v>1</v>
      </c>
      <c r="AA54" s="216" t="b">
        <f t="shared" si="12"/>
        <v>1</v>
      </c>
    </row>
    <row r="55" spans="1:27" s="3" customFormat="1" ht="37.5" customHeight="1">
      <c r="A55" s="227">
        <v>53</v>
      </c>
      <c r="B55" s="228">
        <v>338</v>
      </c>
      <c r="C55" s="227" t="s">
        <v>106</v>
      </c>
      <c r="D55" s="227" t="s">
        <v>110</v>
      </c>
      <c r="E55" s="233" t="s">
        <v>267</v>
      </c>
      <c r="F55" s="234" t="s">
        <v>391</v>
      </c>
      <c r="G55" s="219" t="s">
        <v>50</v>
      </c>
      <c r="H55" s="235">
        <v>1.78</v>
      </c>
      <c r="I55" s="236" t="s">
        <v>269</v>
      </c>
      <c r="J55" s="174">
        <v>2347510.83</v>
      </c>
      <c r="K55" s="205">
        <f t="shared" si="7"/>
        <v>1173755.41</v>
      </c>
      <c r="L55" s="174">
        <f t="shared" si="8"/>
        <v>1173755.4200000002</v>
      </c>
      <c r="M55" s="192">
        <v>0.5</v>
      </c>
      <c r="N55" s="193">
        <v>0</v>
      </c>
      <c r="O55" s="193">
        <v>0</v>
      </c>
      <c r="P55" s="178">
        <v>0</v>
      </c>
      <c r="Q55" s="178">
        <f t="shared" si="13"/>
        <v>1173755.41</v>
      </c>
      <c r="R55" s="177"/>
      <c r="S55" s="177"/>
      <c r="T55" s="177"/>
      <c r="U55" s="177"/>
      <c r="V55" s="177"/>
      <c r="W55" s="177"/>
      <c r="X55" s="144" t="b">
        <f t="shared" si="9"/>
        <v>1</v>
      </c>
      <c r="Y55" s="215">
        <f t="shared" si="10"/>
        <v>0.5</v>
      </c>
      <c r="Z55" s="216" t="b">
        <f t="shared" si="11"/>
        <v>1</v>
      </c>
      <c r="AA55" s="216" t="b">
        <f t="shared" si="12"/>
        <v>1</v>
      </c>
    </row>
    <row r="56" spans="1:27" s="3" customFormat="1" ht="37.5" customHeight="1">
      <c r="A56" s="227">
        <v>54</v>
      </c>
      <c r="B56" s="228">
        <v>335</v>
      </c>
      <c r="C56" s="227" t="s">
        <v>106</v>
      </c>
      <c r="D56" s="227" t="s">
        <v>110</v>
      </c>
      <c r="E56" s="233" t="s">
        <v>267</v>
      </c>
      <c r="F56" s="234" t="s">
        <v>393</v>
      </c>
      <c r="G56" s="219" t="s">
        <v>49</v>
      </c>
      <c r="H56" s="235">
        <v>0.345</v>
      </c>
      <c r="I56" s="236" t="s">
        <v>269</v>
      </c>
      <c r="J56" s="174">
        <v>552105.36</v>
      </c>
      <c r="K56" s="205">
        <f t="shared" si="7"/>
        <v>276052.68</v>
      </c>
      <c r="L56" s="174">
        <f t="shared" si="8"/>
        <v>276052.68</v>
      </c>
      <c r="M56" s="192">
        <v>0.5</v>
      </c>
      <c r="N56" s="193">
        <v>0</v>
      </c>
      <c r="O56" s="193">
        <v>0</v>
      </c>
      <c r="P56" s="178">
        <v>0</v>
      </c>
      <c r="Q56" s="178">
        <f t="shared" si="13"/>
        <v>276052.68</v>
      </c>
      <c r="R56" s="177"/>
      <c r="S56" s="177"/>
      <c r="T56" s="177"/>
      <c r="U56" s="177"/>
      <c r="V56" s="177"/>
      <c r="W56" s="177"/>
      <c r="X56" s="144" t="b">
        <f t="shared" si="9"/>
        <v>1</v>
      </c>
      <c r="Y56" s="215">
        <f t="shared" si="10"/>
        <v>0.5</v>
      </c>
      <c r="Z56" s="216" t="b">
        <f t="shared" si="11"/>
        <v>1</v>
      </c>
      <c r="AA56" s="216" t="b">
        <f t="shared" si="12"/>
        <v>1</v>
      </c>
    </row>
    <row r="57" spans="1:27" s="3" customFormat="1" ht="37.5" customHeight="1">
      <c r="A57" s="227">
        <v>55</v>
      </c>
      <c r="B57" s="228">
        <v>101</v>
      </c>
      <c r="C57" s="227" t="s">
        <v>106</v>
      </c>
      <c r="D57" s="227" t="s">
        <v>138</v>
      </c>
      <c r="E57" s="233" t="s">
        <v>318</v>
      </c>
      <c r="F57" s="230" t="s">
        <v>394</v>
      </c>
      <c r="G57" s="219" t="s">
        <v>50</v>
      </c>
      <c r="H57" s="235">
        <v>2.17</v>
      </c>
      <c r="I57" s="228" t="s">
        <v>320</v>
      </c>
      <c r="J57" s="174">
        <v>3605000</v>
      </c>
      <c r="K57" s="205">
        <f t="shared" si="7"/>
        <v>1802500</v>
      </c>
      <c r="L57" s="174">
        <f t="shared" si="8"/>
        <v>1802500</v>
      </c>
      <c r="M57" s="192">
        <v>0.5</v>
      </c>
      <c r="N57" s="193">
        <v>0</v>
      </c>
      <c r="O57" s="193">
        <v>0</v>
      </c>
      <c r="P57" s="178">
        <v>0</v>
      </c>
      <c r="Q57" s="178">
        <f t="shared" si="13"/>
        <v>1802500</v>
      </c>
      <c r="R57" s="177"/>
      <c r="S57" s="177"/>
      <c r="T57" s="177"/>
      <c r="U57" s="177"/>
      <c r="V57" s="177"/>
      <c r="W57" s="177"/>
      <c r="X57" s="144" t="b">
        <f t="shared" si="9"/>
        <v>1</v>
      </c>
      <c r="Y57" s="215">
        <f t="shared" si="10"/>
        <v>0.5</v>
      </c>
      <c r="Z57" s="216" t="b">
        <f t="shared" si="11"/>
        <v>1</v>
      </c>
      <c r="AA57" s="216" t="b">
        <f t="shared" si="12"/>
        <v>1</v>
      </c>
    </row>
    <row r="58" spans="1:28" s="34" customFormat="1" ht="37.5" customHeight="1">
      <c r="A58" s="227">
        <v>56</v>
      </c>
      <c r="B58" s="228">
        <v>122</v>
      </c>
      <c r="C58" s="227" t="s">
        <v>106</v>
      </c>
      <c r="D58" s="227" t="s">
        <v>48</v>
      </c>
      <c r="E58" s="233" t="s">
        <v>111</v>
      </c>
      <c r="F58" s="234" t="s">
        <v>184</v>
      </c>
      <c r="G58" s="219" t="s">
        <v>50</v>
      </c>
      <c r="H58" s="235">
        <v>0.852</v>
      </c>
      <c r="I58" s="236" t="s">
        <v>280</v>
      </c>
      <c r="J58" s="174">
        <v>1302000</v>
      </c>
      <c r="K58" s="205">
        <f t="shared" si="7"/>
        <v>651000</v>
      </c>
      <c r="L58" s="174">
        <f t="shared" si="8"/>
        <v>651000</v>
      </c>
      <c r="M58" s="192">
        <v>0.5</v>
      </c>
      <c r="N58" s="193">
        <v>0</v>
      </c>
      <c r="O58" s="193">
        <v>0</v>
      </c>
      <c r="P58" s="178">
        <v>0</v>
      </c>
      <c r="Q58" s="178">
        <f t="shared" si="13"/>
        <v>651000</v>
      </c>
      <c r="R58" s="177"/>
      <c r="S58" s="177"/>
      <c r="T58" s="177"/>
      <c r="U58" s="177"/>
      <c r="V58" s="177"/>
      <c r="W58" s="177"/>
      <c r="X58" s="144" t="b">
        <f t="shared" si="9"/>
        <v>1</v>
      </c>
      <c r="Y58" s="215">
        <f t="shared" si="10"/>
        <v>0.5</v>
      </c>
      <c r="Z58" s="216" t="b">
        <f t="shared" si="11"/>
        <v>1</v>
      </c>
      <c r="AA58" s="216" t="b">
        <f t="shared" si="12"/>
        <v>1</v>
      </c>
      <c r="AB58" s="35"/>
    </row>
    <row r="59" spans="1:28" s="34" customFormat="1" ht="37.5" customHeight="1">
      <c r="A59" s="227">
        <v>57</v>
      </c>
      <c r="B59" s="227">
        <v>337</v>
      </c>
      <c r="C59" s="227" t="s">
        <v>106</v>
      </c>
      <c r="D59" s="227" t="s">
        <v>110</v>
      </c>
      <c r="E59" s="233" t="s">
        <v>267</v>
      </c>
      <c r="F59" s="234" t="s">
        <v>395</v>
      </c>
      <c r="G59" s="219" t="s">
        <v>49</v>
      </c>
      <c r="H59" s="235">
        <v>0.812</v>
      </c>
      <c r="I59" s="236" t="s">
        <v>269</v>
      </c>
      <c r="J59" s="174">
        <v>1414784.65</v>
      </c>
      <c r="K59" s="205">
        <f t="shared" si="7"/>
        <v>707392.32</v>
      </c>
      <c r="L59" s="174">
        <f t="shared" si="8"/>
        <v>707392.33</v>
      </c>
      <c r="M59" s="192">
        <v>0.5</v>
      </c>
      <c r="N59" s="193">
        <v>0</v>
      </c>
      <c r="O59" s="193">
        <v>0</v>
      </c>
      <c r="P59" s="178">
        <v>0</v>
      </c>
      <c r="Q59" s="178">
        <f t="shared" si="13"/>
        <v>707392.32</v>
      </c>
      <c r="R59" s="177"/>
      <c r="S59" s="177"/>
      <c r="T59" s="177"/>
      <c r="U59" s="177"/>
      <c r="V59" s="177"/>
      <c r="W59" s="177"/>
      <c r="X59" s="144" t="b">
        <f t="shared" si="9"/>
        <v>1</v>
      </c>
      <c r="Y59" s="215">
        <f t="shared" si="10"/>
        <v>0.5</v>
      </c>
      <c r="Z59" s="216" t="b">
        <f t="shared" si="11"/>
        <v>1</v>
      </c>
      <c r="AA59" s="216" t="b">
        <f t="shared" si="12"/>
        <v>1</v>
      </c>
      <c r="AB59" s="35"/>
    </row>
    <row r="60" spans="1:28" s="34" customFormat="1" ht="37.5" customHeight="1">
      <c r="A60" s="220">
        <v>58</v>
      </c>
      <c r="B60" s="220">
        <v>189</v>
      </c>
      <c r="C60" s="220" t="s">
        <v>65</v>
      </c>
      <c r="D60" s="220" t="s">
        <v>125</v>
      </c>
      <c r="E60" s="224" t="s">
        <v>126</v>
      </c>
      <c r="F60" s="221" t="s">
        <v>396</v>
      </c>
      <c r="G60" s="184" t="s">
        <v>50</v>
      </c>
      <c r="H60" s="222">
        <v>3.985</v>
      </c>
      <c r="I60" s="223" t="s">
        <v>336</v>
      </c>
      <c r="J60" s="37">
        <v>4084414.72</v>
      </c>
      <c r="K60" s="173">
        <f t="shared" si="7"/>
        <v>2042207.36</v>
      </c>
      <c r="L60" s="37">
        <f t="shared" si="8"/>
        <v>2042207.36</v>
      </c>
      <c r="M60" s="188">
        <v>0.5</v>
      </c>
      <c r="N60" s="175">
        <v>0</v>
      </c>
      <c r="O60" s="175">
        <v>0</v>
      </c>
      <c r="P60" s="176">
        <v>0</v>
      </c>
      <c r="Q60" s="176">
        <f>2042907.36*M60</f>
        <v>1021453.68</v>
      </c>
      <c r="R60" s="176">
        <f>2041507.36*M60</f>
        <v>1020753.68</v>
      </c>
      <c r="S60" s="176"/>
      <c r="T60" s="176"/>
      <c r="U60" s="176"/>
      <c r="V60" s="176"/>
      <c r="W60" s="176"/>
      <c r="X60" s="144" t="b">
        <f t="shared" si="9"/>
        <v>1</v>
      </c>
      <c r="Y60" s="215">
        <f t="shared" si="10"/>
        <v>0.5</v>
      </c>
      <c r="Z60" s="216" t="b">
        <f t="shared" si="11"/>
        <v>1</v>
      </c>
      <c r="AA60" s="216" t="b">
        <f t="shared" si="12"/>
        <v>1</v>
      </c>
      <c r="AB60" s="35"/>
    </row>
    <row r="61" spans="1:28" s="34" customFormat="1" ht="37.5" customHeight="1">
      <c r="A61" s="227">
        <v>59</v>
      </c>
      <c r="B61" s="227">
        <v>100</v>
      </c>
      <c r="C61" s="227" t="s">
        <v>106</v>
      </c>
      <c r="D61" s="227" t="s">
        <v>138</v>
      </c>
      <c r="E61" s="233" t="s">
        <v>318</v>
      </c>
      <c r="F61" s="230" t="s">
        <v>397</v>
      </c>
      <c r="G61" s="219" t="s">
        <v>75</v>
      </c>
      <c r="H61" s="235">
        <v>3.48</v>
      </c>
      <c r="I61" s="228" t="s">
        <v>320</v>
      </c>
      <c r="J61" s="174">
        <v>1567000</v>
      </c>
      <c r="K61" s="205">
        <f t="shared" si="7"/>
        <v>783500</v>
      </c>
      <c r="L61" s="174">
        <f t="shared" si="8"/>
        <v>783500</v>
      </c>
      <c r="M61" s="192">
        <v>0.5</v>
      </c>
      <c r="N61" s="193">
        <v>0</v>
      </c>
      <c r="O61" s="193">
        <v>0</v>
      </c>
      <c r="P61" s="178">
        <v>0</v>
      </c>
      <c r="Q61" s="178">
        <f aca="true" t="shared" si="14" ref="Q61:Q66">K61</f>
        <v>783500</v>
      </c>
      <c r="R61" s="177"/>
      <c r="S61" s="177"/>
      <c r="T61" s="177"/>
      <c r="U61" s="177"/>
      <c r="V61" s="177"/>
      <c r="W61" s="177"/>
      <c r="X61" s="144" t="b">
        <f t="shared" si="9"/>
        <v>1</v>
      </c>
      <c r="Y61" s="215">
        <f t="shared" si="10"/>
        <v>0.5</v>
      </c>
      <c r="Z61" s="216" t="b">
        <f t="shared" si="11"/>
        <v>1</v>
      </c>
      <c r="AA61" s="216" t="b">
        <f t="shared" si="12"/>
        <v>1</v>
      </c>
      <c r="AB61" s="35"/>
    </row>
    <row r="62" spans="1:28" s="34" customFormat="1" ht="37.5" customHeight="1">
      <c r="A62" s="227">
        <v>60</v>
      </c>
      <c r="B62" s="227">
        <v>184</v>
      </c>
      <c r="C62" s="227" t="s">
        <v>106</v>
      </c>
      <c r="D62" s="227" t="s">
        <v>125</v>
      </c>
      <c r="E62" s="233" t="s">
        <v>126</v>
      </c>
      <c r="F62" s="234" t="s">
        <v>398</v>
      </c>
      <c r="G62" s="219" t="s">
        <v>75</v>
      </c>
      <c r="H62" s="235">
        <v>1.652</v>
      </c>
      <c r="I62" s="236" t="s">
        <v>317</v>
      </c>
      <c r="J62" s="174">
        <v>1151400</v>
      </c>
      <c r="K62" s="205">
        <f t="shared" si="7"/>
        <v>575700</v>
      </c>
      <c r="L62" s="174">
        <f t="shared" si="8"/>
        <v>575700</v>
      </c>
      <c r="M62" s="192">
        <v>0.5</v>
      </c>
      <c r="N62" s="193">
        <v>0</v>
      </c>
      <c r="O62" s="193">
        <v>0</v>
      </c>
      <c r="P62" s="178">
        <v>0</v>
      </c>
      <c r="Q62" s="178">
        <f t="shared" si="14"/>
        <v>575700</v>
      </c>
      <c r="R62" s="177"/>
      <c r="S62" s="177"/>
      <c r="T62" s="177"/>
      <c r="U62" s="177"/>
      <c r="V62" s="177"/>
      <c r="W62" s="177"/>
      <c r="X62" s="144" t="b">
        <f t="shared" si="9"/>
        <v>1</v>
      </c>
      <c r="Y62" s="215">
        <f t="shared" si="10"/>
        <v>0.5</v>
      </c>
      <c r="Z62" s="216" t="b">
        <f t="shared" si="11"/>
        <v>1</v>
      </c>
      <c r="AA62" s="216" t="b">
        <f t="shared" si="12"/>
        <v>1</v>
      </c>
      <c r="AB62" s="35"/>
    </row>
    <row r="63" spans="1:28" s="34" customFormat="1" ht="37.5" customHeight="1">
      <c r="A63" s="227">
        <v>61</v>
      </c>
      <c r="B63" s="227">
        <v>379</v>
      </c>
      <c r="C63" s="227" t="s">
        <v>106</v>
      </c>
      <c r="D63" s="227" t="s">
        <v>304</v>
      </c>
      <c r="E63" s="233" t="s">
        <v>305</v>
      </c>
      <c r="F63" s="234" t="s">
        <v>399</v>
      </c>
      <c r="G63" s="219" t="s">
        <v>50</v>
      </c>
      <c r="H63" s="235">
        <v>0.99</v>
      </c>
      <c r="I63" s="236" t="s">
        <v>307</v>
      </c>
      <c r="J63" s="174">
        <v>1336500</v>
      </c>
      <c r="K63" s="205">
        <f t="shared" si="7"/>
        <v>668250</v>
      </c>
      <c r="L63" s="174">
        <f t="shared" si="8"/>
        <v>668250</v>
      </c>
      <c r="M63" s="192">
        <v>0.5</v>
      </c>
      <c r="N63" s="193">
        <v>0</v>
      </c>
      <c r="O63" s="193">
        <v>0</v>
      </c>
      <c r="P63" s="178">
        <v>0</v>
      </c>
      <c r="Q63" s="178">
        <f t="shared" si="14"/>
        <v>668250</v>
      </c>
      <c r="R63" s="177"/>
      <c r="S63" s="177"/>
      <c r="T63" s="177"/>
      <c r="U63" s="177"/>
      <c r="V63" s="177"/>
      <c r="W63" s="177"/>
      <c r="X63" s="144" t="b">
        <f t="shared" si="9"/>
        <v>1</v>
      </c>
      <c r="Y63" s="215">
        <f t="shared" si="10"/>
        <v>0.5</v>
      </c>
      <c r="Z63" s="216" t="b">
        <f t="shared" si="11"/>
        <v>1</v>
      </c>
      <c r="AA63" s="216" t="b">
        <f t="shared" si="12"/>
        <v>1</v>
      </c>
      <c r="AB63" s="35"/>
    </row>
    <row r="64" spans="1:28" s="34" customFormat="1" ht="37.5" customHeight="1">
      <c r="A64" s="227">
        <v>62</v>
      </c>
      <c r="B64" s="228">
        <v>188</v>
      </c>
      <c r="C64" s="227" t="s">
        <v>106</v>
      </c>
      <c r="D64" s="227" t="s">
        <v>125</v>
      </c>
      <c r="E64" s="233" t="s">
        <v>126</v>
      </c>
      <c r="F64" s="234" t="s">
        <v>400</v>
      </c>
      <c r="G64" s="219" t="s">
        <v>50</v>
      </c>
      <c r="H64" s="235">
        <v>0.885</v>
      </c>
      <c r="I64" s="236" t="s">
        <v>307</v>
      </c>
      <c r="J64" s="174">
        <v>1449683.82</v>
      </c>
      <c r="K64" s="205">
        <f t="shared" si="7"/>
        <v>724841.91</v>
      </c>
      <c r="L64" s="174">
        <f t="shared" si="8"/>
        <v>724841.91</v>
      </c>
      <c r="M64" s="192">
        <v>0.5</v>
      </c>
      <c r="N64" s="193">
        <v>0</v>
      </c>
      <c r="O64" s="193">
        <v>0</v>
      </c>
      <c r="P64" s="178">
        <v>0</v>
      </c>
      <c r="Q64" s="178">
        <f t="shared" si="14"/>
        <v>724841.91</v>
      </c>
      <c r="R64" s="177"/>
      <c r="S64" s="177"/>
      <c r="T64" s="177"/>
      <c r="U64" s="177"/>
      <c r="V64" s="177"/>
      <c r="W64" s="177"/>
      <c r="X64" s="144" t="b">
        <f t="shared" si="9"/>
        <v>1</v>
      </c>
      <c r="Y64" s="215">
        <f t="shared" si="10"/>
        <v>0.5</v>
      </c>
      <c r="Z64" s="216" t="b">
        <f t="shared" si="11"/>
        <v>1</v>
      </c>
      <c r="AA64" s="216" t="b">
        <f t="shared" si="12"/>
        <v>1</v>
      </c>
      <c r="AB64" s="35"/>
    </row>
    <row r="65" spans="1:28" s="34" customFormat="1" ht="37.5" customHeight="1">
      <c r="A65" s="227">
        <v>63</v>
      </c>
      <c r="B65" s="227">
        <v>211</v>
      </c>
      <c r="C65" s="227" t="s">
        <v>106</v>
      </c>
      <c r="D65" s="227" t="s">
        <v>114</v>
      </c>
      <c r="E65" s="233" t="s">
        <v>315</v>
      </c>
      <c r="F65" s="234" t="s">
        <v>401</v>
      </c>
      <c r="G65" s="219" t="s">
        <v>75</v>
      </c>
      <c r="H65" s="235">
        <v>4.8</v>
      </c>
      <c r="I65" s="236" t="s">
        <v>317</v>
      </c>
      <c r="J65" s="174">
        <v>3552034.65</v>
      </c>
      <c r="K65" s="205">
        <f t="shared" si="7"/>
        <v>1776017.32</v>
      </c>
      <c r="L65" s="174">
        <f t="shared" si="8"/>
        <v>1776017.3299999998</v>
      </c>
      <c r="M65" s="192">
        <v>0.5</v>
      </c>
      <c r="N65" s="193">
        <v>0</v>
      </c>
      <c r="O65" s="193">
        <v>0</v>
      </c>
      <c r="P65" s="178">
        <v>0</v>
      </c>
      <c r="Q65" s="178">
        <f t="shared" si="14"/>
        <v>1776017.32</v>
      </c>
      <c r="R65" s="177"/>
      <c r="S65" s="177"/>
      <c r="T65" s="177"/>
      <c r="U65" s="177"/>
      <c r="V65" s="177"/>
      <c r="W65" s="177"/>
      <c r="X65" s="144" t="b">
        <f t="shared" si="9"/>
        <v>1</v>
      </c>
      <c r="Y65" s="215">
        <f t="shared" si="10"/>
        <v>0.5</v>
      </c>
      <c r="Z65" s="216" t="b">
        <f t="shared" si="11"/>
        <v>1</v>
      </c>
      <c r="AA65" s="216" t="b">
        <f t="shared" si="12"/>
        <v>1</v>
      </c>
      <c r="AB65" s="35"/>
    </row>
    <row r="66" spans="1:28" s="217" customFormat="1" ht="37.5" customHeight="1">
      <c r="A66" s="263" t="s">
        <v>726</v>
      </c>
      <c r="B66" s="228">
        <v>102</v>
      </c>
      <c r="C66" s="227" t="s">
        <v>106</v>
      </c>
      <c r="D66" s="227" t="s">
        <v>138</v>
      </c>
      <c r="E66" s="233" t="s">
        <v>318</v>
      </c>
      <c r="F66" s="230" t="s">
        <v>402</v>
      </c>
      <c r="G66" s="219" t="s">
        <v>75</v>
      </c>
      <c r="H66" s="235">
        <v>5</v>
      </c>
      <c r="I66" s="228" t="s">
        <v>320</v>
      </c>
      <c r="J66" s="174">
        <v>2501000</v>
      </c>
      <c r="K66" s="205">
        <f>ROUNDDOWN(J66*M66,2)-780595.43</f>
        <v>469904.56999999995</v>
      </c>
      <c r="L66" s="174">
        <f t="shared" si="8"/>
        <v>2031095.4300000002</v>
      </c>
      <c r="M66" s="192">
        <v>0.5</v>
      </c>
      <c r="N66" s="193">
        <v>0</v>
      </c>
      <c r="O66" s="193">
        <v>0</v>
      </c>
      <c r="P66" s="178">
        <v>0</v>
      </c>
      <c r="Q66" s="178">
        <f t="shared" si="14"/>
        <v>469904.56999999995</v>
      </c>
      <c r="R66" s="177"/>
      <c r="S66" s="177"/>
      <c r="T66" s="177"/>
      <c r="U66" s="177"/>
      <c r="V66" s="177"/>
      <c r="W66" s="177"/>
      <c r="X66" s="144" t="b">
        <f t="shared" si="9"/>
        <v>1</v>
      </c>
      <c r="Y66" s="215">
        <f t="shared" si="10"/>
        <v>0.1879</v>
      </c>
      <c r="Z66" s="216" t="b">
        <f t="shared" si="11"/>
        <v>0</v>
      </c>
      <c r="AA66" s="216" t="b">
        <f t="shared" si="12"/>
        <v>1</v>
      </c>
      <c r="AB66" s="157"/>
    </row>
    <row r="67" spans="1:28" ht="19.5" customHeight="1">
      <c r="A67" s="330" t="s">
        <v>44</v>
      </c>
      <c r="B67" s="330"/>
      <c r="C67" s="330"/>
      <c r="D67" s="330"/>
      <c r="E67" s="330"/>
      <c r="F67" s="330"/>
      <c r="G67" s="330"/>
      <c r="H67" s="210">
        <f>SUM(H3:H66)</f>
        <v>133.89400000000003</v>
      </c>
      <c r="I67" s="211" t="s">
        <v>14</v>
      </c>
      <c r="J67" s="207">
        <f>SUM(J3:J66)</f>
        <v>223615490.75</v>
      </c>
      <c r="K67" s="207">
        <f>SUM(K3:K66)</f>
        <v>112557149.89999996</v>
      </c>
      <c r="L67" s="207">
        <f>SUM(L3:L66)</f>
        <v>111058340.85000001</v>
      </c>
      <c r="M67" s="212" t="s">
        <v>14</v>
      </c>
      <c r="N67" s="214">
        <f aca="true" t="shared" si="15" ref="N67:W67">SUM(N3:N66)</f>
        <v>0</v>
      </c>
      <c r="O67" s="214">
        <f t="shared" si="15"/>
        <v>0</v>
      </c>
      <c r="P67" s="214">
        <f t="shared" si="15"/>
        <v>0</v>
      </c>
      <c r="Q67" s="214">
        <f t="shared" si="15"/>
        <v>73540551.22999999</v>
      </c>
      <c r="R67" s="214">
        <f t="shared" si="15"/>
        <v>24796948.669999998</v>
      </c>
      <c r="S67" s="214">
        <f t="shared" si="15"/>
        <v>14219650</v>
      </c>
      <c r="T67" s="214">
        <f t="shared" si="15"/>
        <v>0</v>
      </c>
      <c r="U67" s="214">
        <f t="shared" si="15"/>
        <v>0</v>
      </c>
      <c r="V67" s="214">
        <f t="shared" si="15"/>
        <v>0</v>
      </c>
      <c r="W67" s="214">
        <f t="shared" si="15"/>
        <v>0</v>
      </c>
      <c r="X67" s="144" t="b">
        <f>K67=SUM(N67:W67)</f>
        <v>1</v>
      </c>
      <c r="Y67" s="215">
        <f t="shared" si="10"/>
        <v>0.5034</v>
      </c>
      <c r="Z67" s="216" t="s">
        <v>14</v>
      </c>
      <c r="AA67" s="216" t="b">
        <f t="shared" si="12"/>
        <v>1</v>
      </c>
      <c r="AB67" s="26"/>
    </row>
    <row r="68" spans="1:28" ht="19.5" customHeight="1">
      <c r="A68" s="316" t="s">
        <v>39</v>
      </c>
      <c r="B68" s="316"/>
      <c r="C68" s="316"/>
      <c r="D68" s="316"/>
      <c r="E68" s="316"/>
      <c r="F68" s="316"/>
      <c r="G68" s="316"/>
      <c r="H68" s="139">
        <f>SUMIF($C$3:$C$66,"N",H3:H66)</f>
        <v>75.34499999999998</v>
      </c>
      <c r="I68" s="140" t="s">
        <v>14</v>
      </c>
      <c r="J68" s="36">
        <f>SUMIF($C$3:$C$66,"N",J3:J66)</f>
        <v>120229719.58000001</v>
      </c>
      <c r="K68" s="36">
        <f>SUMIF($C$3:$C$66,"N",K3:K66)</f>
        <v>59334264.32</v>
      </c>
      <c r="L68" s="36">
        <f>SUMIF($C$3:$C$66,"N",L3:L66)</f>
        <v>60895455.26</v>
      </c>
      <c r="M68" s="141" t="s">
        <v>14</v>
      </c>
      <c r="N68" s="147">
        <f aca="true" t="shared" si="16" ref="N68:W68">SUMIF($C$3:$C$66,"N",N3:N66)</f>
        <v>0</v>
      </c>
      <c r="O68" s="147">
        <f t="shared" si="16"/>
        <v>0</v>
      </c>
      <c r="P68" s="147">
        <f t="shared" si="16"/>
        <v>0</v>
      </c>
      <c r="Q68" s="147">
        <f t="shared" si="16"/>
        <v>59334264.32</v>
      </c>
      <c r="R68" s="147">
        <f t="shared" si="16"/>
        <v>0</v>
      </c>
      <c r="S68" s="147">
        <f t="shared" si="16"/>
        <v>0</v>
      </c>
      <c r="T68" s="147">
        <f t="shared" si="16"/>
        <v>0</v>
      </c>
      <c r="U68" s="147">
        <f t="shared" si="16"/>
        <v>0</v>
      </c>
      <c r="V68" s="147">
        <f t="shared" si="16"/>
        <v>0</v>
      </c>
      <c r="W68" s="147">
        <f t="shared" si="16"/>
        <v>0</v>
      </c>
      <c r="X68" s="144" t="b">
        <f>K68=SUM(N68:W68)</f>
        <v>1</v>
      </c>
      <c r="Y68" s="215">
        <f t="shared" si="10"/>
        <v>0.4935</v>
      </c>
      <c r="Z68" s="216" t="s">
        <v>14</v>
      </c>
      <c r="AA68" s="216" t="b">
        <f t="shared" si="12"/>
        <v>1</v>
      </c>
      <c r="AB68" s="26"/>
    </row>
    <row r="69" spans="1:28" ht="19.5" customHeight="1">
      <c r="A69" s="331" t="s">
        <v>40</v>
      </c>
      <c r="B69" s="331"/>
      <c r="C69" s="331"/>
      <c r="D69" s="331"/>
      <c r="E69" s="331"/>
      <c r="F69" s="331"/>
      <c r="G69" s="331"/>
      <c r="H69" s="142">
        <f>SUMIF($C$3:$C$66,"W",H3:H66)</f>
        <v>58.54899999999999</v>
      </c>
      <c r="I69" s="281" t="s">
        <v>14</v>
      </c>
      <c r="J69" s="37">
        <f>SUMIF($C$3:$C$66,"W",J3:J66)</f>
        <v>103385771.17</v>
      </c>
      <c r="K69" s="37">
        <f>SUMIF($C$3:$C$66,"W",K3:K66)</f>
        <v>53222885.58</v>
      </c>
      <c r="L69" s="37">
        <f>SUMIF($C$3:$C$66,"W",L3:L66)</f>
        <v>50162885.589999996</v>
      </c>
      <c r="M69" s="143" t="s">
        <v>14</v>
      </c>
      <c r="N69" s="148">
        <f aca="true" t="shared" si="17" ref="N69:W69">SUMIF($C$3:$C$66,"W",N3:N66)</f>
        <v>0</v>
      </c>
      <c r="O69" s="148">
        <f t="shared" si="17"/>
        <v>0</v>
      </c>
      <c r="P69" s="148">
        <f t="shared" si="17"/>
        <v>0</v>
      </c>
      <c r="Q69" s="148">
        <f t="shared" si="17"/>
        <v>14206286.91</v>
      </c>
      <c r="R69" s="148">
        <f t="shared" si="17"/>
        <v>24796948.669999998</v>
      </c>
      <c r="S69" s="148">
        <f t="shared" si="17"/>
        <v>14219650</v>
      </c>
      <c r="T69" s="148">
        <f t="shared" si="17"/>
        <v>0</v>
      </c>
      <c r="U69" s="148">
        <f t="shared" si="17"/>
        <v>0</v>
      </c>
      <c r="V69" s="148">
        <f t="shared" si="17"/>
        <v>0</v>
      </c>
      <c r="W69" s="148">
        <f t="shared" si="17"/>
        <v>0</v>
      </c>
      <c r="X69" s="144" t="b">
        <f>K69=SUM(N69:W69)</f>
        <v>1</v>
      </c>
      <c r="Y69" s="215">
        <f t="shared" si="10"/>
        <v>0.5148</v>
      </c>
      <c r="Z69" s="216" t="s">
        <v>14</v>
      </c>
      <c r="AA69" s="216" t="b">
        <f t="shared" si="12"/>
        <v>1</v>
      </c>
      <c r="AB69" s="26"/>
    </row>
    <row r="70" spans="1:23" ht="15">
      <c r="A70" s="28"/>
      <c r="B70" s="27"/>
      <c r="C70" s="27"/>
      <c r="D70" s="27"/>
      <c r="E70" s="27"/>
      <c r="F70" s="27"/>
      <c r="G70" s="27"/>
      <c r="H70" s="27"/>
      <c r="I70" s="27"/>
      <c r="K70" s="27"/>
      <c r="L70" s="27"/>
      <c r="M70" s="144"/>
      <c r="N70" s="27"/>
      <c r="O70" s="27"/>
      <c r="P70" s="27"/>
      <c r="Q70" s="27"/>
      <c r="R70" s="27"/>
      <c r="S70" s="27"/>
      <c r="T70" s="27"/>
      <c r="U70" s="27"/>
      <c r="V70" s="27"/>
      <c r="W70" s="27"/>
    </row>
    <row r="71" spans="1:23" ht="15">
      <c r="A71" s="23" t="s">
        <v>25</v>
      </c>
      <c r="B71" s="27"/>
      <c r="C71" s="27"/>
      <c r="D71" s="27"/>
      <c r="E71" s="27"/>
      <c r="F71" s="27"/>
      <c r="G71" s="27"/>
      <c r="H71" s="27"/>
      <c r="I71" s="27"/>
      <c r="K71" s="27"/>
      <c r="L71" s="27"/>
      <c r="M71" s="144"/>
      <c r="N71" s="27"/>
      <c r="O71" s="27"/>
      <c r="P71" s="27"/>
      <c r="Q71" s="27"/>
      <c r="R71" s="27"/>
      <c r="S71" s="27"/>
      <c r="T71" s="27"/>
      <c r="U71" s="27"/>
      <c r="V71" s="27"/>
      <c r="W71" s="27"/>
    </row>
    <row r="72" spans="1:23" ht="15">
      <c r="A72" s="24" t="s">
        <v>26</v>
      </c>
      <c r="B72" s="27"/>
      <c r="C72" s="27"/>
      <c r="D72" s="27"/>
      <c r="E72" s="27"/>
      <c r="F72" s="27"/>
      <c r="G72" s="27"/>
      <c r="H72" s="27"/>
      <c r="I72" s="27"/>
      <c r="K72" s="27"/>
      <c r="L72" s="27"/>
      <c r="M72" s="144"/>
      <c r="N72" s="27"/>
      <c r="O72" s="27"/>
      <c r="P72" s="27"/>
      <c r="Q72" s="27"/>
      <c r="R72" s="27"/>
      <c r="S72" s="27"/>
      <c r="T72" s="27"/>
      <c r="U72" s="27"/>
      <c r="V72" s="27"/>
      <c r="W72" s="27"/>
    </row>
    <row r="73" spans="1:23" ht="15">
      <c r="A73" s="23" t="s">
        <v>36</v>
      </c>
      <c r="B73" s="27"/>
      <c r="C73" s="27"/>
      <c r="D73" s="27"/>
      <c r="E73" s="27"/>
      <c r="F73" s="27"/>
      <c r="G73" s="27"/>
      <c r="H73" s="27"/>
      <c r="I73" s="27"/>
      <c r="K73" s="27"/>
      <c r="L73" s="27"/>
      <c r="M73" s="144"/>
      <c r="N73" s="27"/>
      <c r="O73" s="27"/>
      <c r="P73" s="27"/>
      <c r="Q73" s="27"/>
      <c r="R73" s="27"/>
      <c r="S73" s="27"/>
      <c r="T73" s="27"/>
      <c r="U73" s="27"/>
      <c r="V73" s="27"/>
      <c r="W73" s="27"/>
    </row>
    <row r="74" spans="1:23" ht="15">
      <c r="A74" s="146"/>
      <c r="B74" s="27"/>
      <c r="C74" s="27"/>
      <c r="D74" s="27"/>
      <c r="E74" s="27"/>
      <c r="F74" s="27"/>
      <c r="G74" s="27"/>
      <c r="H74" s="27"/>
      <c r="I74" s="27"/>
      <c r="K74" s="27"/>
      <c r="L74" s="27"/>
      <c r="M74" s="144"/>
      <c r="N74" s="27"/>
      <c r="O74" s="27"/>
      <c r="P74" s="27"/>
      <c r="Q74" s="27"/>
      <c r="R74" s="27"/>
      <c r="S74" s="27"/>
      <c r="T74" s="27"/>
      <c r="U74" s="27"/>
      <c r="V74" s="27"/>
      <c r="W74" s="27"/>
    </row>
    <row r="75" spans="1:23" ht="15">
      <c r="A75" s="145" t="s">
        <v>238</v>
      </c>
      <c r="B75" s="27"/>
      <c r="C75" s="27"/>
      <c r="D75" s="27"/>
      <c r="E75" s="27"/>
      <c r="F75" s="27"/>
      <c r="G75" s="27"/>
      <c r="H75" s="27"/>
      <c r="I75" s="27"/>
      <c r="K75" s="27"/>
      <c r="L75" s="27"/>
      <c r="M75" s="144"/>
      <c r="N75" s="27"/>
      <c r="O75" s="27"/>
      <c r="P75" s="27"/>
      <c r="Q75" s="27"/>
      <c r="R75" s="27"/>
      <c r="S75" s="27"/>
      <c r="T75" s="27"/>
      <c r="U75" s="27"/>
      <c r="V75" s="27"/>
      <c r="W75" s="27"/>
    </row>
    <row r="76" spans="1:23" ht="15">
      <c r="A76" s="213" t="s">
        <v>661</v>
      </c>
      <c r="B76" s="4"/>
      <c r="C76" s="4"/>
      <c r="D76" s="4"/>
      <c r="E76" s="4"/>
      <c r="F76" s="4"/>
      <c r="G76" s="27"/>
      <c r="H76" s="27"/>
      <c r="I76" s="27"/>
      <c r="K76" s="27"/>
      <c r="L76" s="27"/>
      <c r="M76" s="144"/>
      <c r="N76" s="27"/>
      <c r="O76" s="27"/>
      <c r="P76" s="27"/>
      <c r="Q76" s="27"/>
      <c r="R76" s="27"/>
      <c r="S76" s="27"/>
      <c r="T76" s="27"/>
      <c r="U76" s="27"/>
      <c r="V76" s="27"/>
      <c r="W76" s="27"/>
    </row>
    <row r="77" spans="1:23" ht="15">
      <c r="A77" s="4"/>
      <c r="B77" s="4"/>
      <c r="C77" s="4"/>
      <c r="D77" s="4"/>
      <c r="E77" s="4"/>
      <c r="F77" s="4"/>
      <c r="G77" s="27"/>
      <c r="H77" s="27"/>
      <c r="I77" s="27"/>
      <c r="K77" s="27"/>
      <c r="L77" s="27"/>
      <c r="M77" s="144"/>
      <c r="N77" s="27"/>
      <c r="O77" s="27"/>
      <c r="P77" s="27"/>
      <c r="Q77" s="27"/>
      <c r="R77" s="27"/>
      <c r="S77" s="27"/>
      <c r="T77" s="27"/>
      <c r="U77" s="27"/>
      <c r="V77" s="27"/>
      <c r="W77" s="27"/>
    </row>
    <row r="78" spans="1:23" ht="15">
      <c r="A78" s="4"/>
      <c r="B78" s="4"/>
      <c r="C78" s="4"/>
      <c r="D78" s="4"/>
      <c r="E78" s="4"/>
      <c r="F78" s="4"/>
      <c r="G78" s="27"/>
      <c r="H78" s="27"/>
      <c r="I78" s="27"/>
      <c r="K78" s="27"/>
      <c r="L78" s="27"/>
      <c r="M78" s="144"/>
      <c r="N78" s="27"/>
      <c r="O78" s="27"/>
      <c r="P78" s="27"/>
      <c r="Q78" s="27"/>
      <c r="R78" s="27"/>
      <c r="S78" s="27"/>
      <c r="T78" s="27"/>
      <c r="U78" s="27"/>
      <c r="V78" s="27"/>
      <c r="W78" s="27"/>
    </row>
    <row r="79" spans="1:23" ht="15">
      <c r="A79" s="4"/>
      <c r="B79" s="4"/>
      <c r="C79" s="4"/>
      <c r="D79" s="4"/>
      <c r="E79" s="4"/>
      <c r="F79" s="4"/>
      <c r="G79" s="27"/>
      <c r="H79" s="27"/>
      <c r="I79" s="27"/>
      <c r="K79" s="27"/>
      <c r="L79" s="27"/>
      <c r="M79" s="144"/>
      <c r="N79" s="27"/>
      <c r="O79" s="27"/>
      <c r="P79" s="27"/>
      <c r="Q79" s="27"/>
      <c r="R79" s="27"/>
      <c r="S79" s="27"/>
      <c r="T79" s="27"/>
      <c r="U79" s="27"/>
      <c r="V79" s="27"/>
      <c r="W79" s="27"/>
    </row>
    <row r="80" spans="1:23" ht="15">
      <c r="A80" s="4"/>
      <c r="B80" s="4"/>
      <c r="C80" s="4"/>
      <c r="D80" s="4"/>
      <c r="E80" s="4"/>
      <c r="F80" s="4"/>
      <c r="G80" s="27"/>
      <c r="H80" s="27"/>
      <c r="I80" s="27"/>
      <c r="K80" s="27"/>
      <c r="L80" s="27"/>
      <c r="M80" s="144"/>
      <c r="N80" s="27"/>
      <c r="O80" s="27"/>
      <c r="P80" s="27"/>
      <c r="Q80" s="27"/>
      <c r="R80" s="27"/>
      <c r="S80" s="27"/>
      <c r="T80" s="27"/>
      <c r="U80" s="27"/>
      <c r="V80" s="27"/>
      <c r="W80" s="27"/>
    </row>
    <row r="81" spans="1:23" ht="15">
      <c r="A81" s="4"/>
      <c r="B81" s="4"/>
      <c r="C81" s="4"/>
      <c r="D81" s="4"/>
      <c r="E81" s="4"/>
      <c r="F81" s="4"/>
      <c r="G81" s="27"/>
      <c r="H81" s="27"/>
      <c r="I81" s="27"/>
      <c r="K81" s="27"/>
      <c r="L81" s="27"/>
      <c r="M81" s="144"/>
      <c r="N81" s="27"/>
      <c r="O81" s="27"/>
      <c r="P81" s="27"/>
      <c r="Q81" s="27"/>
      <c r="R81" s="27"/>
      <c r="S81" s="27"/>
      <c r="T81" s="27"/>
      <c r="U81" s="27"/>
      <c r="V81" s="27"/>
      <c r="W81" s="27"/>
    </row>
    <row r="82" spans="1:23" ht="15">
      <c r="A82" s="4"/>
      <c r="B82" s="4"/>
      <c r="C82" s="4"/>
      <c r="D82" s="4"/>
      <c r="E82" s="4"/>
      <c r="F82" s="4"/>
      <c r="G82" s="27"/>
      <c r="H82" s="27"/>
      <c r="I82" s="27"/>
      <c r="K82" s="27"/>
      <c r="L82" s="27"/>
      <c r="M82" s="144"/>
      <c r="N82" s="27"/>
      <c r="O82" s="27"/>
      <c r="P82" s="27"/>
      <c r="Q82" s="27"/>
      <c r="R82" s="27"/>
      <c r="S82" s="27"/>
      <c r="T82" s="27"/>
      <c r="U82" s="27"/>
      <c r="V82" s="27"/>
      <c r="W82" s="27"/>
    </row>
    <row r="83" spans="2:23" ht="15">
      <c r="B83" s="27"/>
      <c r="C83" s="27"/>
      <c r="D83" s="27"/>
      <c r="E83" s="27"/>
      <c r="F83" s="27"/>
      <c r="G83" s="27"/>
      <c r="H83" s="27"/>
      <c r="I83" s="27"/>
      <c r="K83" s="27"/>
      <c r="L83" s="27"/>
      <c r="M83" s="144"/>
      <c r="N83" s="27"/>
      <c r="O83" s="27"/>
      <c r="P83" s="27"/>
      <c r="Q83" s="27"/>
      <c r="R83" s="27"/>
      <c r="S83" s="27"/>
      <c r="T83" s="27"/>
      <c r="U83" s="27"/>
      <c r="V83" s="27"/>
      <c r="W83" s="27"/>
    </row>
  </sheetData>
  <sheetProtection/>
  <mergeCells count="17">
    <mergeCell ref="A68:G68"/>
    <mergeCell ref="F1:F2"/>
    <mergeCell ref="G1:G2"/>
    <mergeCell ref="H1:H2"/>
    <mergeCell ref="D1:D2"/>
    <mergeCell ref="A67:G67"/>
    <mergeCell ref="E1:E2"/>
    <mergeCell ref="J1:J2"/>
    <mergeCell ref="K1:K2"/>
    <mergeCell ref="L1:L2"/>
    <mergeCell ref="M1:M2"/>
    <mergeCell ref="N1:W1"/>
    <mergeCell ref="A69:G69"/>
    <mergeCell ref="I1:I2"/>
    <mergeCell ref="A1:A2"/>
    <mergeCell ref="B1:B2"/>
    <mergeCell ref="C1:C2"/>
  </mergeCells>
  <conditionalFormatting sqref="AA69 X3:AB55 Y56:AB66 X56:X67">
    <cfRule type="cellIs" priority="14" dxfId="51" operator="equal">
      <formula>FALSE</formula>
    </cfRule>
  </conditionalFormatting>
  <conditionalFormatting sqref="AB69">
    <cfRule type="cellIs" priority="19" dxfId="51" operator="equal">
      <formula>FALSE</formula>
    </cfRule>
  </conditionalFormatting>
  <conditionalFormatting sqref="AB69">
    <cfRule type="cellIs" priority="18" dxfId="51" operator="equal">
      <formula>FALSE</formula>
    </cfRule>
  </conditionalFormatting>
  <conditionalFormatting sqref="Y69:Z69">
    <cfRule type="cellIs" priority="17" dxfId="51" operator="equal">
      <formula>FALSE</formula>
    </cfRule>
  </conditionalFormatting>
  <conditionalFormatting sqref="X69">
    <cfRule type="cellIs" priority="16" dxfId="51" operator="equal">
      <formula>FALSE</formula>
    </cfRule>
  </conditionalFormatting>
  <conditionalFormatting sqref="X69:Z69 X3:Z55 Y56:Z66 X56:X67">
    <cfRule type="containsText" priority="15" dxfId="51" operator="containsText" text="fałsz">
      <formula>NOT(ISERROR(SEARCH("fałsz",X3)))</formula>
    </cfRule>
  </conditionalFormatting>
  <conditionalFormatting sqref="AA69">
    <cfRule type="cellIs" priority="13" dxfId="51" operator="equal">
      <formula>FALSE</formula>
    </cfRule>
  </conditionalFormatting>
  <conditionalFormatting sqref="AB67:AB68">
    <cfRule type="cellIs" priority="12" dxfId="51" operator="equal">
      <formula>FALSE</formula>
    </cfRule>
  </conditionalFormatting>
  <conditionalFormatting sqref="AB67:AB68">
    <cfRule type="cellIs" priority="11" dxfId="51" operator="equal">
      <formula>FALSE</formula>
    </cfRule>
  </conditionalFormatting>
  <conditionalFormatting sqref="Y67:Z67">
    <cfRule type="cellIs" priority="10" dxfId="51" operator="equal">
      <formula>FALSE</formula>
    </cfRule>
  </conditionalFormatting>
  <conditionalFormatting sqref="Y67:Z67">
    <cfRule type="containsText" priority="8" dxfId="51" operator="containsText" text="fałsz">
      <formula>NOT(ISERROR(SEARCH("fałsz",Y67)))</formula>
    </cfRule>
  </conditionalFormatting>
  <conditionalFormatting sqref="AA67">
    <cfRule type="cellIs" priority="7" dxfId="51" operator="equal">
      <formula>FALSE</formula>
    </cfRule>
  </conditionalFormatting>
  <conditionalFormatting sqref="AA67">
    <cfRule type="cellIs" priority="6" dxfId="51" operator="equal">
      <formula>FALSE</formula>
    </cfRule>
  </conditionalFormatting>
  <conditionalFormatting sqref="Y68:Z68">
    <cfRule type="cellIs" priority="5" dxfId="51" operator="equal">
      <formula>FALSE</formula>
    </cfRule>
  </conditionalFormatting>
  <conditionalFormatting sqref="X68">
    <cfRule type="cellIs" priority="4" dxfId="51" operator="equal">
      <formula>FALSE</formula>
    </cfRule>
  </conditionalFormatting>
  <conditionalFormatting sqref="X68:Z68">
    <cfRule type="containsText" priority="3" dxfId="51" operator="containsText" text="fałsz">
      <formula>NOT(ISERROR(SEARCH("fałsz",X68)))</formula>
    </cfRule>
  </conditionalFormatting>
  <conditionalFormatting sqref="AA68">
    <cfRule type="cellIs" priority="2" dxfId="51" operator="equal">
      <formula>FALSE</formula>
    </cfRule>
  </conditionalFormatting>
  <conditionalFormatting sqref="AA68">
    <cfRule type="cellIs" priority="1" dxfId="51" operator="equal">
      <formula>FALSE</formula>
    </cfRule>
  </conditionalFormatting>
  <dataValidations count="2">
    <dataValidation type="list" allowBlank="1" showInputMessage="1" showErrorMessage="1" sqref="G3:G66">
      <formula1>"B,P,R"</formula1>
    </dataValidation>
    <dataValidation type="list" allowBlank="1" showInputMessage="1" showErrorMessage="1" sqref="C3:C66">
      <formula1>"N,K,W"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scale="56" r:id="rId1"/>
  <headerFooter>
    <oddHeader>&amp;LWojewództwo podlaskie - zadania powiatowe lista rezerwowa</oddHead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84"/>
  <sheetViews>
    <sheetView showGridLines="0" tabSelected="1" view="pageBreakPreview" zoomScale="90" zoomScaleNormal="85" zoomScaleSheetLayoutView="90" zoomScalePageLayoutView="0" workbookViewId="0" topLeftCell="H18">
      <selection activeCell="AA88" sqref="AA88"/>
    </sheetView>
  </sheetViews>
  <sheetFormatPr defaultColWidth="9.140625" defaultRowHeight="15"/>
  <cols>
    <col min="1" max="1" width="5.00390625" style="7" customWidth="1"/>
    <col min="2" max="2" width="7.28125" style="7" customWidth="1"/>
    <col min="3" max="3" width="13.00390625" style="7" customWidth="1"/>
    <col min="4" max="4" width="17.28125" style="7" customWidth="1"/>
    <col min="5" max="5" width="9.8515625" style="7" customWidth="1"/>
    <col min="6" max="6" width="17.57421875" style="7" customWidth="1"/>
    <col min="7" max="7" width="65.8515625" style="7" customWidth="1"/>
    <col min="8" max="8" width="8.57421875" style="7" customWidth="1"/>
    <col min="9" max="9" width="12.00390625" style="7" customWidth="1"/>
    <col min="10" max="10" width="13.7109375" style="1" customWidth="1"/>
    <col min="11" max="11" width="15.7109375" style="27" customWidth="1"/>
    <col min="12" max="12" width="17.00390625" style="7" customWidth="1"/>
    <col min="13" max="13" width="17.140625" style="7" customWidth="1"/>
    <col min="14" max="14" width="15.7109375" style="1" customWidth="1"/>
    <col min="15" max="17" width="15.7109375" style="7" customWidth="1"/>
    <col min="18" max="18" width="17.7109375" style="7" customWidth="1"/>
    <col min="19" max="20" width="15.7109375" style="7" customWidth="1"/>
    <col min="21" max="21" width="12.8515625" style="7" customWidth="1"/>
    <col min="22" max="22" width="12.421875" style="7" customWidth="1"/>
    <col min="23" max="23" width="11.8515625" style="7" customWidth="1"/>
    <col min="24" max="24" width="13.57421875" style="7" customWidth="1"/>
    <col min="25" max="28" width="15.7109375" style="7" customWidth="1"/>
    <col min="29" max="16384" width="9.140625" style="7" customWidth="1"/>
  </cols>
  <sheetData>
    <row r="1" spans="1:24" s="27" customFormat="1" ht="31.5" customHeight="1">
      <c r="A1" s="316" t="s">
        <v>4</v>
      </c>
      <c r="B1" s="316" t="s">
        <v>5</v>
      </c>
      <c r="C1" s="316" t="s">
        <v>213</v>
      </c>
      <c r="D1" s="316" t="s">
        <v>6</v>
      </c>
      <c r="E1" s="316" t="s">
        <v>33</v>
      </c>
      <c r="F1" s="316" t="s">
        <v>15</v>
      </c>
      <c r="G1" s="316" t="s">
        <v>7</v>
      </c>
      <c r="H1" s="316" t="s">
        <v>27</v>
      </c>
      <c r="I1" s="316" t="s">
        <v>214</v>
      </c>
      <c r="J1" s="316" t="s">
        <v>28</v>
      </c>
      <c r="K1" s="316" t="s">
        <v>9</v>
      </c>
      <c r="L1" s="316" t="s">
        <v>10</v>
      </c>
      <c r="M1" s="316" t="s">
        <v>13</v>
      </c>
      <c r="N1" s="316" t="s">
        <v>11</v>
      </c>
      <c r="O1" s="316" t="s">
        <v>12</v>
      </c>
      <c r="P1" s="316"/>
      <c r="Q1" s="316"/>
      <c r="R1" s="316"/>
      <c r="S1" s="316"/>
      <c r="T1" s="316"/>
      <c r="U1" s="316"/>
      <c r="V1" s="316"/>
      <c r="W1" s="316"/>
      <c r="X1" s="316"/>
    </row>
    <row r="2" spans="1:28" s="27" customFormat="1" ht="27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280">
        <v>2019</v>
      </c>
      <c r="P2" s="280">
        <v>2020</v>
      </c>
      <c r="Q2" s="280">
        <v>2021</v>
      </c>
      <c r="R2" s="280">
        <v>2022</v>
      </c>
      <c r="S2" s="280">
        <v>2023</v>
      </c>
      <c r="T2" s="280">
        <v>2024</v>
      </c>
      <c r="U2" s="280">
        <v>2025</v>
      </c>
      <c r="V2" s="280">
        <v>2026</v>
      </c>
      <c r="W2" s="280">
        <v>2027</v>
      </c>
      <c r="X2" s="280">
        <v>2028</v>
      </c>
      <c r="Y2" s="144" t="s">
        <v>29</v>
      </c>
      <c r="Z2" s="144" t="s">
        <v>30</v>
      </c>
      <c r="AA2" s="144" t="s">
        <v>31</v>
      </c>
      <c r="AB2" s="31" t="s">
        <v>32</v>
      </c>
    </row>
    <row r="3" spans="1:28" s="279" customFormat="1" ht="36.75" customHeight="1">
      <c r="A3" s="220">
        <v>1</v>
      </c>
      <c r="B3" s="220"/>
      <c r="C3" s="220" t="s">
        <v>65</v>
      </c>
      <c r="D3" s="220" t="s">
        <v>554</v>
      </c>
      <c r="E3" s="220">
        <v>2014042</v>
      </c>
      <c r="F3" s="220" t="s">
        <v>61</v>
      </c>
      <c r="G3" s="221" t="s">
        <v>723</v>
      </c>
      <c r="H3" s="184" t="s">
        <v>50</v>
      </c>
      <c r="I3" s="222">
        <v>1.947</v>
      </c>
      <c r="J3" s="223" t="s">
        <v>555</v>
      </c>
      <c r="K3" s="37">
        <v>10051677</v>
      </c>
      <c r="L3" s="173">
        <f aca="true" t="shared" si="0" ref="L3:L32">ROUNDDOWN(K3*N3,2)</f>
        <v>8041341.6</v>
      </c>
      <c r="M3" s="37">
        <f aca="true" t="shared" si="1" ref="M3:M32">K3-L3</f>
        <v>2010335.4000000004</v>
      </c>
      <c r="N3" s="183">
        <v>0.8</v>
      </c>
      <c r="O3" s="175">
        <v>0</v>
      </c>
      <c r="P3" s="175">
        <v>0</v>
      </c>
      <c r="Q3" s="179">
        <v>0</v>
      </c>
      <c r="R3" s="176">
        <f>2500000*N3</f>
        <v>2000000</v>
      </c>
      <c r="S3" s="175">
        <f>7551677*N3</f>
        <v>6041341.600000001</v>
      </c>
      <c r="T3" s="175"/>
      <c r="U3" s="268"/>
      <c r="V3" s="265"/>
      <c r="W3" s="265"/>
      <c r="X3" s="265"/>
      <c r="Y3" s="31" t="b">
        <f aca="true" t="shared" si="2" ref="Y3:Y32">L3=SUM(O3:X3)</f>
        <v>1</v>
      </c>
      <c r="Z3" s="149">
        <f aca="true" t="shared" si="3" ref="Z3:Z32">ROUND(L3/K3,4)</f>
        <v>0.8</v>
      </c>
      <c r="AA3" s="150" t="b">
        <f aca="true" t="shared" si="4" ref="AA3:AA32">Z3=N3</f>
        <v>1</v>
      </c>
      <c r="AB3" s="150" t="b">
        <f aca="true" t="shared" si="5" ref="AB3:AB32">K3=L3+M3</f>
        <v>1</v>
      </c>
    </row>
    <row r="4" spans="1:28" s="20" customFormat="1" ht="36.75" customHeight="1">
      <c r="A4" s="228">
        <v>2</v>
      </c>
      <c r="B4" s="228">
        <v>225</v>
      </c>
      <c r="C4" s="227" t="s">
        <v>106</v>
      </c>
      <c r="D4" s="227" t="s">
        <v>196</v>
      </c>
      <c r="E4" s="227">
        <v>2001011</v>
      </c>
      <c r="F4" s="227" t="s">
        <v>157</v>
      </c>
      <c r="G4" s="234" t="s">
        <v>552</v>
      </c>
      <c r="H4" s="219" t="s">
        <v>50</v>
      </c>
      <c r="I4" s="235">
        <v>0.73</v>
      </c>
      <c r="J4" s="236" t="s">
        <v>301</v>
      </c>
      <c r="K4" s="174">
        <v>7383000</v>
      </c>
      <c r="L4" s="205">
        <f>ROUNDDOWN(K4*N4,2)</f>
        <v>5906400</v>
      </c>
      <c r="M4" s="174">
        <f t="shared" si="1"/>
        <v>1476600</v>
      </c>
      <c r="N4" s="192">
        <v>0.8</v>
      </c>
      <c r="O4" s="193">
        <v>0</v>
      </c>
      <c r="P4" s="193">
        <v>0</v>
      </c>
      <c r="Q4" s="206">
        <v>0</v>
      </c>
      <c r="R4" s="178">
        <f>L4</f>
        <v>5906400</v>
      </c>
      <c r="S4" s="266"/>
      <c r="T4" s="266"/>
      <c r="U4" s="267"/>
      <c r="V4" s="265"/>
      <c r="W4" s="265"/>
      <c r="X4" s="265"/>
      <c r="Y4" s="31" t="b">
        <f t="shared" si="2"/>
        <v>1</v>
      </c>
      <c r="Z4" s="149">
        <f t="shared" si="3"/>
        <v>0.8</v>
      </c>
      <c r="AA4" s="150" t="b">
        <f t="shared" si="4"/>
        <v>1</v>
      </c>
      <c r="AB4" s="150" t="b">
        <f t="shared" si="5"/>
        <v>1</v>
      </c>
    </row>
    <row r="5" spans="1:28" s="20" customFormat="1" ht="36.75" customHeight="1">
      <c r="A5" s="228">
        <v>3</v>
      </c>
      <c r="B5" s="227">
        <v>310</v>
      </c>
      <c r="C5" s="227" t="s">
        <v>106</v>
      </c>
      <c r="D5" s="227" t="s">
        <v>549</v>
      </c>
      <c r="E5" s="250">
        <v>2001043</v>
      </c>
      <c r="F5" s="227" t="s">
        <v>157</v>
      </c>
      <c r="G5" s="234" t="s">
        <v>550</v>
      </c>
      <c r="H5" s="219" t="s">
        <v>50</v>
      </c>
      <c r="I5" s="235">
        <v>0.16</v>
      </c>
      <c r="J5" s="236" t="s">
        <v>278</v>
      </c>
      <c r="K5" s="244">
        <v>269967.07</v>
      </c>
      <c r="L5" s="205">
        <f t="shared" si="0"/>
        <v>134983.53</v>
      </c>
      <c r="M5" s="174">
        <f t="shared" si="1"/>
        <v>134983.54</v>
      </c>
      <c r="N5" s="192">
        <v>0.5</v>
      </c>
      <c r="O5" s="193">
        <v>0</v>
      </c>
      <c r="P5" s="193">
        <v>0</v>
      </c>
      <c r="Q5" s="206">
        <v>0</v>
      </c>
      <c r="R5" s="193">
        <f>L5</f>
        <v>134983.53</v>
      </c>
      <c r="S5" s="193"/>
      <c r="T5" s="266"/>
      <c r="U5" s="267"/>
      <c r="V5" s="265"/>
      <c r="W5" s="265"/>
      <c r="X5" s="265"/>
      <c r="Y5" s="31" t="b">
        <f t="shared" si="2"/>
        <v>1</v>
      </c>
      <c r="Z5" s="149">
        <f t="shared" si="3"/>
        <v>0.5</v>
      </c>
      <c r="AA5" s="150" t="b">
        <f t="shared" si="4"/>
        <v>1</v>
      </c>
      <c r="AB5" s="150" t="b">
        <f t="shared" si="5"/>
        <v>1</v>
      </c>
    </row>
    <row r="6" spans="1:28" s="20" customFormat="1" ht="36.75" customHeight="1">
      <c r="A6" s="228">
        <v>4</v>
      </c>
      <c r="B6" s="228">
        <v>278</v>
      </c>
      <c r="C6" s="227" t="s">
        <v>106</v>
      </c>
      <c r="D6" s="227" t="s">
        <v>156</v>
      </c>
      <c r="E6" s="250">
        <v>2001052</v>
      </c>
      <c r="F6" s="227" t="s">
        <v>157</v>
      </c>
      <c r="G6" s="234" t="s">
        <v>551</v>
      </c>
      <c r="H6" s="219" t="s">
        <v>50</v>
      </c>
      <c r="I6" s="235">
        <v>0.76</v>
      </c>
      <c r="J6" s="236" t="s">
        <v>416</v>
      </c>
      <c r="K6" s="244">
        <v>895112</v>
      </c>
      <c r="L6" s="205">
        <f t="shared" si="0"/>
        <v>447556</v>
      </c>
      <c r="M6" s="174">
        <f t="shared" si="1"/>
        <v>447556</v>
      </c>
      <c r="N6" s="192">
        <v>0.5</v>
      </c>
      <c r="O6" s="193">
        <v>0</v>
      </c>
      <c r="P6" s="193">
        <v>0</v>
      </c>
      <c r="Q6" s="206">
        <v>0</v>
      </c>
      <c r="R6" s="178">
        <f>L6</f>
        <v>447556</v>
      </c>
      <c r="S6" s="266"/>
      <c r="T6" s="266"/>
      <c r="U6" s="267"/>
      <c r="V6" s="265"/>
      <c r="W6" s="265"/>
      <c r="X6" s="265"/>
      <c r="Y6" s="31" t="b">
        <f t="shared" si="2"/>
        <v>1</v>
      </c>
      <c r="Z6" s="149">
        <f t="shared" si="3"/>
        <v>0.5</v>
      </c>
      <c r="AA6" s="150" t="b">
        <f t="shared" si="4"/>
        <v>1</v>
      </c>
      <c r="AB6" s="150" t="b">
        <f t="shared" si="5"/>
        <v>1</v>
      </c>
    </row>
    <row r="7" spans="1:28" s="20" customFormat="1" ht="36.75" customHeight="1">
      <c r="A7" s="220">
        <v>5</v>
      </c>
      <c r="B7" s="220">
        <v>131</v>
      </c>
      <c r="C7" s="220" t="s">
        <v>65</v>
      </c>
      <c r="D7" s="220" t="s">
        <v>51</v>
      </c>
      <c r="E7" s="220">
        <v>2002013</v>
      </c>
      <c r="F7" s="220" t="s">
        <v>52</v>
      </c>
      <c r="G7" s="221" t="s">
        <v>553</v>
      </c>
      <c r="H7" s="184" t="s">
        <v>49</v>
      </c>
      <c r="I7" s="222">
        <v>1.039</v>
      </c>
      <c r="J7" s="223" t="s">
        <v>309</v>
      </c>
      <c r="K7" s="37">
        <v>11583497.32</v>
      </c>
      <c r="L7" s="173">
        <f t="shared" si="0"/>
        <v>5791748.66</v>
      </c>
      <c r="M7" s="37">
        <f t="shared" si="1"/>
        <v>5791748.66</v>
      </c>
      <c r="N7" s="183">
        <v>0.5</v>
      </c>
      <c r="O7" s="175">
        <v>0</v>
      </c>
      <c r="P7" s="175">
        <v>0</v>
      </c>
      <c r="Q7" s="179">
        <v>0</v>
      </c>
      <c r="R7" s="175">
        <f>3000000*N7</f>
        <v>1500000</v>
      </c>
      <c r="S7" s="175">
        <f>5000000*N7</f>
        <v>2500000</v>
      </c>
      <c r="T7" s="175">
        <f>3583497.32*N7</f>
        <v>1791748.66</v>
      </c>
      <c r="U7" s="268"/>
      <c r="V7" s="265"/>
      <c r="W7" s="265"/>
      <c r="X7" s="265"/>
      <c r="Y7" s="31" t="b">
        <f t="shared" si="2"/>
        <v>1</v>
      </c>
      <c r="Z7" s="149">
        <f t="shared" si="3"/>
        <v>0.5</v>
      </c>
      <c r="AA7" s="150" t="b">
        <f t="shared" si="4"/>
        <v>1</v>
      </c>
      <c r="AB7" s="150" t="b">
        <f t="shared" si="5"/>
        <v>1</v>
      </c>
    </row>
    <row r="8" spans="1:28" s="20" customFormat="1" ht="36.75" customHeight="1">
      <c r="A8" s="228">
        <v>6</v>
      </c>
      <c r="B8" s="228">
        <v>89</v>
      </c>
      <c r="C8" s="227" t="s">
        <v>106</v>
      </c>
      <c r="D8" s="227" t="s">
        <v>142</v>
      </c>
      <c r="E8" s="250">
        <v>2013011</v>
      </c>
      <c r="F8" s="227" t="s">
        <v>58</v>
      </c>
      <c r="G8" s="230" t="s">
        <v>556</v>
      </c>
      <c r="H8" s="219" t="s">
        <v>50</v>
      </c>
      <c r="I8" s="235">
        <v>0.348</v>
      </c>
      <c r="J8" s="228" t="s">
        <v>259</v>
      </c>
      <c r="K8" s="244">
        <v>1049692.97</v>
      </c>
      <c r="L8" s="205">
        <f t="shared" si="0"/>
        <v>524846.48</v>
      </c>
      <c r="M8" s="174">
        <f t="shared" si="1"/>
        <v>524846.49</v>
      </c>
      <c r="N8" s="192">
        <v>0.5</v>
      </c>
      <c r="O8" s="193">
        <v>0</v>
      </c>
      <c r="P8" s="193">
        <v>0</v>
      </c>
      <c r="Q8" s="206">
        <v>0</v>
      </c>
      <c r="R8" s="178">
        <f>L8</f>
        <v>524846.48</v>
      </c>
      <c r="S8" s="266"/>
      <c r="T8" s="266"/>
      <c r="U8" s="267"/>
      <c r="V8" s="265"/>
      <c r="W8" s="265"/>
      <c r="X8" s="265"/>
      <c r="Y8" s="31" t="b">
        <f t="shared" si="2"/>
        <v>1</v>
      </c>
      <c r="Z8" s="149">
        <f t="shared" si="3"/>
        <v>0.5</v>
      </c>
      <c r="AA8" s="150" t="b">
        <f t="shared" si="4"/>
        <v>1</v>
      </c>
      <c r="AB8" s="150" t="b">
        <f t="shared" si="5"/>
        <v>1</v>
      </c>
    </row>
    <row r="9" spans="1:28" s="20" customFormat="1" ht="36.75" customHeight="1">
      <c r="A9" s="228">
        <v>7</v>
      </c>
      <c r="B9" s="227">
        <v>408</v>
      </c>
      <c r="C9" s="227" t="s">
        <v>106</v>
      </c>
      <c r="D9" s="227" t="s">
        <v>140</v>
      </c>
      <c r="E9" s="250">
        <v>2012072</v>
      </c>
      <c r="F9" s="227" t="s">
        <v>57</v>
      </c>
      <c r="G9" s="234" t="s">
        <v>557</v>
      </c>
      <c r="H9" s="219" t="s">
        <v>49</v>
      </c>
      <c r="I9" s="235">
        <v>0.862</v>
      </c>
      <c r="J9" s="236" t="s">
        <v>370</v>
      </c>
      <c r="K9" s="244">
        <v>2541600</v>
      </c>
      <c r="L9" s="205">
        <f t="shared" si="0"/>
        <v>1270800</v>
      </c>
      <c r="M9" s="174">
        <f t="shared" si="1"/>
        <v>1270800</v>
      </c>
      <c r="N9" s="192">
        <v>0.5</v>
      </c>
      <c r="O9" s="193">
        <v>0</v>
      </c>
      <c r="P9" s="193">
        <v>0</v>
      </c>
      <c r="Q9" s="206">
        <v>0</v>
      </c>
      <c r="R9" s="178">
        <f>L9</f>
        <v>1270800</v>
      </c>
      <c r="S9" s="266"/>
      <c r="T9" s="266"/>
      <c r="U9" s="267"/>
      <c r="V9" s="265"/>
      <c r="W9" s="265"/>
      <c r="X9" s="265"/>
      <c r="Y9" s="31" t="b">
        <f t="shared" si="2"/>
        <v>1</v>
      </c>
      <c r="Z9" s="149">
        <f t="shared" si="3"/>
        <v>0.5</v>
      </c>
      <c r="AA9" s="150" t="b">
        <f t="shared" si="4"/>
        <v>1</v>
      </c>
      <c r="AB9" s="150" t="b">
        <f t="shared" si="5"/>
        <v>1</v>
      </c>
    </row>
    <row r="10" spans="1:28" s="20" customFormat="1" ht="36.75" customHeight="1">
      <c r="A10" s="220">
        <v>8</v>
      </c>
      <c r="B10" s="220">
        <v>82</v>
      </c>
      <c r="C10" s="220" t="s">
        <v>65</v>
      </c>
      <c r="D10" s="220" t="s">
        <v>212</v>
      </c>
      <c r="E10" s="248">
        <v>2013042</v>
      </c>
      <c r="F10" s="220" t="s">
        <v>58</v>
      </c>
      <c r="G10" s="221" t="s">
        <v>558</v>
      </c>
      <c r="H10" s="184" t="s">
        <v>50</v>
      </c>
      <c r="I10" s="222">
        <v>3.417</v>
      </c>
      <c r="J10" s="220" t="s">
        <v>559</v>
      </c>
      <c r="K10" s="37">
        <v>4502000</v>
      </c>
      <c r="L10" s="173">
        <f t="shared" si="0"/>
        <v>2701200</v>
      </c>
      <c r="M10" s="37">
        <f t="shared" si="1"/>
        <v>1800800</v>
      </c>
      <c r="N10" s="183">
        <v>0.6</v>
      </c>
      <c r="O10" s="175">
        <v>0</v>
      </c>
      <c r="P10" s="175">
        <v>0</v>
      </c>
      <c r="Q10" s="179">
        <v>0</v>
      </c>
      <c r="R10" s="175">
        <f>1820000*N10</f>
        <v>1092000</v>
      </c>
      <c r="S10" s="175">
        <f>2682000*N10</f>
        <v>1609200</v>
      </c>
      <c r="T10" s="175"/>
      <c r="U10" s="268"/>
      <c r="V10" s="265"/>
      <c r="W10" s="265"/>
      <c r="X10" s="265"/>
      <c r="Y10" s="31" t="b">
        <f t="shared" si="2"/>
        <v>1</v>
      </c>
      <c r="Z10" s="149">
        <f t="shared" si="3"/>
        <v>0.6</v>
      </c>
      <c r="AA10" s="150" t="b">
        <f t="shared" si="4"/>
        <v>1</v>
      </c>
      <c r="AB10" s="150" t="b">
        <f t="shared" si="5"/>
        <v>1</v>
      </c>
    </row>
    <row r="11" spans="1:28" s="20" customFormat="1" ht="36.75" customHeight="1">
      <c r="A11" s="220">
        <v>9</v>
      </c>
      <c r="B11" s="220">
        <v>145</v>
      </c>
      <c r="C11" s="220" t="s">
        <v>65</v>
      </c>
      <c r="D11" s="220" t="s">
        <v>60</v>
      </c>
      <c r="E11" s="248">
        <v>2002133</v>
      </c>
      <c r="F11" s="220" t="s">
        <v>52</v>
      </c>
      <c r="G11" s="221" t="s">
        <v>560</v>
      </c>
      <c r="H11" s="184" t="s">
        <v>49</v>
      </c>
      <c r="I11" s="222">
        <v>1.33</v>
      </c>
      <c r="J11" s="223" t="s">
        <v>282</v>
      </c>
      <c r="K11" s="37">
        <v>4381500</v>
      </c>
      <c r="L11" s="173">
        <f t="shared" si="0"/>
        <v>2190750</v>
      </c>
      <c r="M11" s="37">
        <f t="shared" si="1"/>
        <v>2190750</v>
      </c>
      <c r="N11" s="183">
        <v>0.5</v>
      </c>
      <c r="O11" s="175">
        <v>0</v>
      </c>
      <c r="P11" s="175">
        <v>0</v>
      </c>
      <c r="Q11" s="179">
        <v>0</v>
      </c>
      <c r="R11" s="175">
        <f>2452900*N11</f>
        <v>1226450</v>
      </c>
      <c r="S11" s="175">
        <f>1928600*N11</f>
        <v>964300</v>
      </c>
      <c r="T11" s="175"/>
      <c r="U11" s="268"/>
      <c r="V11" s="265"/>
      <c r="W11" s="265"/>
      <c r="X11" s="265"/>
      <c r="Y11" s="31" t="b">
        <f t="shared" si="2"/>
        <v>1</v>
      </c>
      <c r="Z11" s="149">
        <f t="shared" si="3"/>
        <v>0.5</v>
      </c>
      <c r="AA11" s="150" t="b">
        <f t="shared" si="4"/>
        <v>1</v>
      </c>
      <c r="AB11" s="150" t="b">
        <f t="shared" si="5"/>
        <v>1</v>
      </c>
    </row>
    <row r="12" spans="1:28" s="20" customFormat="1" ht="36.75" customHeight="1">
      <c r="A12" s="228">
        <v>10</v>
      </c>
      <c r="B12" s="228">
        <v>240</v>
      </c>
      <c r="C12" s="227" t="s">
        <v>106</v>
      </c>
      <c r="D12" s="227" t="s">
        <v>66</v>
      </c>
      <c r="E12" s="227">
        <v>2062011</v>
      </c>
      <c r="F12" s="227" t="s">
        <v>62</v>
      </c>
      <c r="G12" s="234" t="s">
        <v>561</v>
      </c>
      <c r="H12" s="219" t="s">
        <v>49</v>
      </c>
      <c r="I12" s="235">
        <v>0.246</v>
      </c>
      <c r="J12" s="232" t="s">
        <v>280</v>
      </c>
      <c r="K12" s="174">
        <v>2923479</v>
      </c>
      <c r="L12" s="205">
        <f t="shared" si="0"/>
        <v>1461739.5</v>
      </c>
      <c r="M12" s="174">
        <f t="shared" si="1"/>
        <v>1461739.5</v>
      </c>
      <c r="N12" s="192">
        <v>0.5</v>
      </c>
      <c r="O12" s="193">
        <v>0</v>
      </c>
      <c r="P12" s="193">
        <v>0</v>
      </c>
      <c r="Q12" s="206">
        <v>0</v>
      </c>
      <c r="R12" s="178">
        <f>L12</f>
        <v>1461739.5</v>
      </c>
      <c r="S12" s="193"/>
      <c r="T12" s="266"/>
      <c r="U12" s="267"/>
      <c r="V12" s="265"/>
      <c r="W12" s="265"/>
      <c r="X12" s="265"/>
      <c r="Y12" s="31" t="b">
        <f t="shared" si="2"/>
        <v>1</v>
      </c>
      <c r="Z12" s="149">
        <f t="shared" si="3"/>
        <v>0.5</v>
      </c>
      <c r="AA12" s="150" t="b">
        <f t="shared" si="4"/>
        <v>1</v>
      </c>
      <c r="AB12" s="150" t="b">
        <f t="shared" si="5"/>
        <v>1</v>
      </c>
    </row>
    <row r="13" spans="1:28" s="20" customFormat="1" ht="36.75" customHeight="1">
      <c r="A13" s="228">
        <v>11</v>
      </c>
      <c r="B13" s="228">
        <v>156</v>
      </c>
      <c r="C13" s="227" t="s">
        <v>106</v>
      </c>
      <c r="D13" s="227" t="s">
        <v>60</v>
      </c>
      <c r="E13" s="250">
        <v>2002133</v>
      </c>
      <c r="F13" s="227" t="s">
        <v>52</v>
      </c>
      <c r="G13" s="234" t="s">
        <v>562</v>
      </c>
      <c r="H13" s="219" t="s">
        <v>49</v>
      </c>
      <c r="I13" s="235">
        <v>0.565</v>
      </c>
      <c r="J13" s="236" t="s">
        <v>282</v>
      </c>
      <c r="K13" s="244">
        <v>4253000</v>
      </c>
      <c r="L13" s="173">
        <f t="shared" si="0"/>
        <v>2126500</v>
      </c>
      <c r="M13" s="37">
        <f t="shared" si="1"/>
        <v>2126500</v>
      </c>
      <c r="N13" s="183">
        <v>0.5</v>
      </c>
      <c r="O13" s="175">
        <v>0</v>
      </c>
      <c r="P13" s="175">
        <v>0</v>
      </c>
      <c r="Q13" s="179">
        <v>0</v>
      </c>
      <c r="R13" s="175">
        <f>2000000*N13</f>
        <v>1000000</v>
      </c>
      <c r="S13" s="175">
        <f>2253000*N13</f>
        <v>1126500</v>
      </c>
      <c r="T13" s="175"/>
      <c r="U13" s="268"/>
      <c r="V13" s="265"/>
      <c r="W13" s="265"/>
      <c r="X13" s="265"/>
      <c r="Y13" s="31" t="b">
        <f t="shared" si="2"/>
        <v>1</v>
      </c>
      <c r="Z13" s="149">
        <f t="shared" si="3"/>
        <v>0.5</v>
      </c>
      <c r="AA13" s="150" t="b">
        <f t="shared" si="4"/>
        <v>1</v>
      </c>
      <c r="AB13" s="150" t="b">
        <f t="shared" si="5"/>
        <v>1</v>
      </c>
    </row>
    <row r="14" spans="1:28" s="20" customFormat="1" ht="36.75" customHeight="1">
      <c r="A14" s="220">
        <v>12</v>
      </c>
      <c r="B14" s="220">
        <v>139</v>
      </c>
      <c r="C14" s="220" t="s">
        <v>65</v>
      </c>
      <c r="D14" s="220" t="s">
        <v>51</v>
      </c>
      <c r="E14" s="220">
        <v>2002013</v>
      </c>
      <c r="F14" s="220" t="s">
        <v>52</v>
      </c>
      <c r="G14" s="221" t="s">
        <v>195</v>
      </c>
      <c r="H14" s="184" t="s">
        <v>49</v>
      </c>
      <c r="I14" s="222">
        <v>1.58</v>
      </c>
      <c r="J14" s="223" t="s">
        <v>354</v>
      </c>
      <c r="K14" s="37">
        <v>10561653.3</v>
      </c>
      <c r="L14" s="173">
        <f t="shared" si="0"/>
        <v>5280826.65</v>
      </c>
      <c r="M14" s="37">
        <f t="shared" si="1"/>
        <v>5280826.65</v>
      </c>
      <c r="N14" s="183">
        <v>0.5</v>
      </c>
      <c r="O14" s="175">
        <v>0</v>
      </c>
      <c r="P14" s="175">
        <v>0</v>
      </c>
      <c r="Q14" s="179">
        <v>0</v>
      </c>
      <c r="R14" s="175">
        <f>1316.1*N14</f>
        <v>658.05</v>
      </c>
      <c r="S14" s="175">
        <f>7000000*N14</f>
        <v>3500000</v>
      </c>
      <c r="T14" s="175">
        <f>3560337.2*N14</f>
        <v>1780168.6</v>
      </c>
      <c r="U14" s="268"/>
      <c r="V14" s="265"/>
      <c r="W14" s="265"/>
      <c r="X14" s="265"/>
      <c r="Y14" s="31" t="b">
        <f t="shared" si="2"/>
        <v>1</v>
      </c>
      <c r="Z14" s="149">
        <f t="shared" si="3"/>
        <v>0.5</v>
      </c>
      <c r="AA14" s="150" t="b">
        <f t="shared" si="4"/>
        <v>1</v>
      </c>
      <c r="AB14" s="150" t="b">
        <f t="shared" si="5"/>
        <v>1</v>
      </c>
    </row>
    <row r="15" spans="1:28" s="20" customFormat="1" ht="36.75" customHeight="1">
      <c r="A15" s="220">
        <v>13</v>
      </c>
      <c r="B15" s="220">
        <v>155</v>
      </c>
      <c r="C15" s="220" t="s">
        <v>65</v>
      </c>
      <c r="D15" s="220" t="s">
        <v>60</v>
      </c>
      <c r="E15" s="248">
        <v>2002133</v>
      </c>
      <c r="F15" s="220" t="s">
        <v>52</v>
      </c>
      <c r="G15" s="221" t="s">
        <v>563</v>
      </c>
      <c r="H15" s="184" t="s">
        <v>49</v>
      </c>
      <c r="I15" s="222">
        <v>0.67</v>
      </c>
      <c r="J15" s="223" t="s">
        <v>282</v>
      </c>
      <c r="K15" s="37">
        <v>2341500</v>
      </c>
      <c r="L15" s="173">
        <f t="shared" si="0"/>
        <v>1170750</v>
      </c>
      <c r="M15" s="37">
        <f t="shared" si="1"/>
        <v>1170750</v>
      </c>
      <c r="N15" s="183">
        <v>0.5</v>
      </c>
      <c r="O15" s="175">
        <v>0</v>
      </c>
      <c r="P15" s="175">
        <v>0</v>
      </c>
      <c r="Q15" s="179">
        <v>0</v>
      </c>
      <c r="R15" s="175">
        <f>500000*N15</f>
        <v>250000</v>
      </c>
      <c r="S15" s="175">
        <f>1841500*N15</f>
        <v>920750</v>
      </c>
      <c r="T15" s="175"/>
      <c r="U15" s="268"/>
      <c r="V15" s="265"/>
      <c r="W15" s="265"/>
      <c r="X15" s="265"/>
      <c r="Y15" s="31" t="b">
        <f t="shared" si="2"/>
        <v>1</v>
      </c>
      <c r="Z15" s="149">
        <f t="shared" si="3"/>
        <v>0.5</v>
      </c>
      <c r="AA15" s="150" t="b">
        <f t="shared" si="4"/>
        <v>1</v>
      </c>
      <c r="AB15" s="150" t="b">
        <f t="shared" si="5"/>
        <v>1</v>
      </c>
    </row>
    <row r="16" spans="1:28" s="20" customFormat="1" ht="36.75" customHeight="1">
      <c r="A16" s="220">
        <v>14</v>
      </c>
      <c r="B16" s="220">
        <v>245</v>
      </c>
      <c r="C16" s="220" t="s">
        <v>65</v>
      </c>
      <c r="D16" s="220" t="s">
        <v>66</v>
      </c>
      <c r="E16" s="220">
        <v>2062011</v>
      </c>
      <c r="F16" s="220" t="s">
        <v>62</v>
      </c>
      <c r="G16" s="221" t="s">
        <v>564</v>
      </c>
      <c r="H16" s="184" t="s">
        <v>50</v>
      </c>
      <c r="I16" s="222">
        <v>0.96</v>
      </c>
      <c r="J16" s="223" t="s">
        <v>565</v>
      </c>
      <c r="K16" s="37">
        <v>5215668</v>
      </c>
      <c r="L16" s="173">
        <f t="shared" si="0"/>
        <v>2607834</v>
      </c>
      <c r="M16" s="37">
        <f t="shared" si="1"/>
        <v>2607834</v>
      </c>
      <c r="N16" s="183">
        <v>0.5</v>
      </c>
      <c r="O16" s="175">
        <v>0</v>
      </c>
      <c r="P16" s="175">
        <v>0</v>
      </c>
      <c r="Q16" s="179">
        <v>0</v>
      </c>
      <c r="R16" s="175">
        <f>115668*N16</f>
        <v>57834</v>
      </c>
      <c r="S16" s="175">
        <f>3570000*N16</f>
        <v>1785000</v>
      </c>
      <c r="T16" s="175">
        <f>1530000*N16</f>
        <v>765000</v>
      </c>
      <c r="U16" s="268"/>
      <c r="V16" s="265"/>
      <c r="W16" s="265"/>
      <c r="X16" s="265"/>
      <c r="Y16" s="31" t="b">
        <f t="shared" si="2"/>
        <v>1</v>
      </c>
      <c r="Z16" s="149">
        <f t="shared" si="3"/>
        <v>0.5</v>
      </c>
      <c r="AA16" s="150" t="b">
        <f t="shared" si="4"/>
        <v>1</v>
      </c>
      <c r="AB16" s="150" t="b">
        <f t="shared" si="5"/>
        <v>1</v>
      </c>
    </row>
    <row r="17" spans="1:28" s="20" customFormat="1" ht="36.75" customHeight="1">
      <c r="A17" s="220">
        <v>15</v>
      </c>
      <c r="B17" s="220">
        <v>135</v>
      </c>
      <c r="C17" s="220" t="s">
        <v>65</v>
      </c>
      <c r="D17" s="220" t="s">
        <v>51</v>
      </c>
      <c r="E17" s="220">
        <v>2002013</v>
      </c>
      <c r="F17" s="220" t="s">
        <v>52</v>
      </c>
      <c r="G17" s="221" t="s">
        <v>566</v>
      </c>
      <c r="H17" s="184" t="s">
        <v>49</v>
      </c>
      <c r="I17" s="222">
        <v>0.598</v>
      </c>
      <c r="J17" s="223" t="s">
        <v>567</v>
      </c>
      <c r="K17" s="37">
        <v>2031262.18</v>
      </c>
      <c r="L17" s="173">
        <f t="shared" si="0"/>
        <v>1015631.09</v>
      </c>
      <c r="M17" s="37">
        <f t="shared" si="1"/>
        <v>1015631.09</v>
      </c>
      <c r="N17" s="183">
        <v>0.5</v>
      </c>
      <c r="O17" s="175">
        <v>0</v>
      </c>
      <c r="P17" s="175">
        <v>0</v>
      </c>
      <c r="Q17" s="179">
        <v>0</v>
      </c>
      <c r="R17" s="175">
        <f>101589.39*N17</f>
        <v>50794.695</v>
      </c>
      <c r="S17" s="175">
        <f>1929672.79*N17</f>
        <v>964836.395</v>
      </c>
      <c r="T17" s="175"/>
      <c r="U17" s="268"/>
      <c r="V17" s="265"/>
      <c r="W17" s="265"/>
      <c r="X17" s="265"/>
      <c r="Y17" s="31" t="b">
        <f t="shared" si="2"/>
        <v>1</v>
      </c>
      <c r="Z17" s="149">
        <f t="shared" si="3"/>
        <v>0.5</v>
      </c>
      <c r="AA17" s="150" t="b">
        <f t="shared" si="4"/>
        <v>1</v>
      </c>
      <c r="AB17" s="150" t="b">
        <f t="shared" si="5"/>
        <v>1</v>
      </c>
    </row>
    <row r="18" spans="1:28" s="20" customFormat="1" ht="36.75" customHeight="1">
      <c r="A18" s="228">
        <v>16</v>
      </c>
      <c r="B18" s="228">
        <v>381</v>
      </c>
      <c r="C18" s="227" t="s">
        <v>106</v>
      </c>
      <c r="D18" s="227" t="s">
        <v>206</v>
      </c>
      <c r="E18" s="250">
        <v>2005011</v>
      </c>
      <c r="F18" s="227" t="s">
        <v>92</v>
      </c>
      <c r="G18" s="234" t="s">
        <v>568</v>
      </c>
      <c r="H18" s="219" t="s">
        <v>49</v>
      </c>
      <c r="I18" s="235">
        <v>0.238</v>
      </c>
      <c r="J18" s="232" t="s">
        <v>416</v>
      </c>
      <c r="K18" s="174">
        <v>2192870.2</v>
      </c>
      <c r="L18" s="205">
        <f t="shared" si="0"/>
        <v>1315722.12</v>
      </c>
      <c r="M18" s="174">
        <f t="shared" si="1"/>
        <v>877148.0800000001</v>
      </c>
      <c r="N18" s="192">
        <v>0.6</v>
      </c>
      <c r="O18" s="193">
        <v>0</v>
      </c>
      <c r="P18" s="193">
        <v>0</v>
      </c>
      <c r="Q18" s="206">
        <v>0</v>
      </c>
      <c r="R18" s="193">
        <f aca="true" t="shared" si="6" ref="R18:R23">L18</f>
        <v>1315722.12</v>
      </c>
      <c r="S18" s="266"/>
      <c r="T18" s="266"/>
      <c r="U18" s="267"/>
      <c r="V18" s="265"/>
      <c r="W18" s="265"/>
      <c r="X18" s="265"/>
      <c r="Y18" s="31" t="b">
        <f t="shared" si="2"/>
        <v>1</v>
      </c>
      <c r="Z18" s="149">
        <f t="shared" si="3"/>
        <v>0.6</v>
      </c>
      <c r="AA18" s="150" t="b">
        <f t="shared" si="4"/>
        <v>1</v>
      </c>
      <c r="AB18" s="150" t="b">
        <f t="shared" si="5"/>
        <v>1</v>
      </c>
    </row>
    <row r="19" spans="1:28" s="20" customFormat="1" ht="36.75" customHeight="1">
      <c r="A19" s="228">
        <v>17</v>
      </c>
      <c r="B19" s="227">
        <v>130</v>
      </c>
      <c r="C19" s="227" t="s">
        <v>106</v>
      </c>
      <c r="D19" s="227" t="s">
        <v>51</v>
      </c>
      <c r="E19" s="227">
        <v>2002013</v>
      </c>
      <c r="F19" s="227" t="s">
        <v>52</v>
      </c>
      <c r="G19" s="234" t="s">
        <v>569</v>
      </c>
      <c r="H19" s="262" t="s">
        <v>47</v>
      </c>
      <c r="I19" s="235">
        <v>0.75</v>
      </c>
      <c r="J19" s="232" t="s">
        <v>491</v>
      </c>
      <c r="K19" s="174">
        <v>2048725.99</v>
      </c>
      <c r="L19" s="205">
        <f t="shared" si="0"/>
        <v>1024362.99</v>
      </c>
      <c r="M19" s="174">
        <f t="shared" si="1"/>
        <v>1024363</v>
      </c>
      <c r="N19" s="192">
        <v>0.5</v>
      </c>
      <c r="O19" s="193">
        <v>0</v>
      </c>
      <c r="P19" s="193">
        <v>0</v>
      </c>
      <c r="Q19" s="206">
        <v>0</v>
      </c>
      <c r="R19" s="193">
        <f t="shared" si="6"/>
        <v>1024362.99</v>
      </c>
      <c r="S19" s="266"/>
      <c r="T19" s="266"/>
      <c r="U19" s="267"/>
      <c r="V19" s="265"/>
      <c r="W19" s="265"/>
      <c r="X19" s="265"/>
      <c r="Y19" s="31" t="b">
        <f t="shared" si="2"/>
        <v>1</v>
      </c>
      <c r="Z19" s="149">
        <f t="shared" si="3"/>
        <v>0.5</v>
      </c>
      <c r="AA19" s="150" t="b">
        <f t="shared" si="4"/>
        <v>1</v>
      </c>
      <c r="AB19" s="150" t="b">
        <f t="shared" si="5"/>
        <v>1</v>
      </c>
    </row>
    <row r="20" spans="1:28" s="20" customFormat="1" ht="36.75" customHeight="1">
      <c r="A20" s="228">
        <v>18</v>
      </c>
      <c r="B20" s="228">
        <v>227</v>
      </c>
      <c r="C20" s="227" t="s">
        <v>106</v>
      </c>
      <c r="D20" s="227" t="s">
        <v>196</v>
      </c>
      <c r="E20" s="250">
        <v>2001011</v>
      </c>
      <c r="F20" s="227" t="s">
        <v>157</v>
      </c>
      <c r="G20" s="234" t="s">
        <v>198</v>
      </c>
      <c r="H20" s="219" t="s">
        <v>49</v>
      </c>
      <c r="I20" s="235">
        <v>1.763</v>
      </c>
      <c r="J20" s="236" t="s">
        <v>301</v>
      </c>
      <c r="K20" s="174">
        <v>4460000</v>
      </c>
      <c r="L20" s="205">
        <f t="shared" si="0"/>
        <v>2230000</v>
      </c>
      <c r="M20" s="174">
        <f t="shared" si="1"/>
        <v>2230000</v>
      </c>
      <c r="N20" s="192">
        <v>0.5</v>
      </c>
      <c r="O20" s="193">
        <v>0</v>
      </c>
      <c r="P20" s="193">
        <v>0</v>
      </c>
      <c r="Q20" s="206">
        <v>0</v>
      </c>
      <c r="R20" s="193">
        <f t="shared" si="6"/>
        <v>2230000</v>
      </c>
      <c r="S20" s="266"/>
      <c r="T20" s="266"/>
      <c r="U20" s="267"/>
      <c r="V20" s="265"/>
      <c r="W20" s="265"/>
      <c r="X20" s="265"/>
      <c r="Y20" s="31" t="b">
        <f t="shared" si="2"/>
        <v>1</v>
      </c>
      <c r="Z20" s="149">
        <f t="shared" si="3"/>
        <v>0.5</v>
      </c>
      <c r="AA20" s="150" t="b">
        <f t="shared" si="4"/>
        <v>1</v>
      </c>
      <c r="AB20" s="150" t="b">
        <f t="shared" si="5"/>
        <v>1</v>
      </c>
    </row>
    <row r="21" spans="1:28" s="20" customFormat="1" ht="36.75" customHeight="1">
      <c r="A21" s="228">
        <v>19</v>
      </c>
      <c r="B21" s="228">
        <v>284</v>
      </c>
      <c r="C21" s="227" t="s">
        <v>106</v>
      </c>
      <c r="D21" s="227" t="s">
        <v>93</v>
      </c>
      <c r="E21" s="250">
        <v>2014011</v>
      </c>
      <c r="F21" s="227" t="s">
        <v>61</v>
      </c>
      <c r="G21" s="234" t="s">
        <v>571</v>
      </c>
      <c r="H21" s="249" t="s">
        <v>50</v>
      </c>
      <c r="I21" s="262">
        <v>0.336</v>
      </c>
      <c r="J21" s="236" t="s">
        <v>320</v>
      </c>
      <c r="K21" s="174">
        <v>5112101.19</v>
      </c>
      <c r="L21" s="205">
        <f t="shared" si="0"/>
        <v>3067260.71</v>
      </c>
      <c r="M21" s="174">
        <f t="shared" si="1"/>
        <v>2044840.4800000004</v>
      </c>
      <c r="N21" s="192">
        <v>0.6</v>
      </c>
      <c r="O21" s="193">
        <v>0</v>
      </c>
      <c r="P21" s="193">
        <v>0</v>
      </c>
      <c r="Q21" s="206">
        <v>0</v>
      </c>
      <c r="R21" s="193">
        <f t="shared" si="6"/>
        <v>3067260.71</v>
      </c>
      <c r="S21" s="266"/>
      <c r="T21" s="266"/>
      <c r="U21" s="267"/>
      <c r="V21" s="265"/>
      <c r="W21" s="265"/>
      <c r="X21" s="265"/>
      <c r="Y21" s="31" t="b">
        <f t="shared" si="2"/>
        <v>1</v>
      </c>
      <c r="Z21" s="149">
        <f t="shared" si="3"/>
        <v>0.6</v>
      </c>
      <c r="AA21" s="150" t="b">
        <f t="shared" si="4"/>
        <v>1</v>
      </c>
      <c r="AB21" s="150" t="b">
        <f t="shared" si="5"/>
        <v>1</v>
      </c>
    </row>
    <row r="22" spans="1:28" s="20" customFormat="1" ht="36.75" customHeight="1">
      <c r="A22" s="228">
        <v>20</v>
      </c>
      <c r="B22" s="228">
        <v>356</v>
      </c>
      <c r="C22" s="227" t="s">
        <v>106</v>
      </c>
      <c r="D22" s="227" t="s">
        <v>572</v>
      </c>
      <c r="E22" s="250">
        <v>2008052</v>
      </c>
      <c r="F22" s="228" t="s">
        <v>59</v>
      </c>
      <c r="G22" s="234" t="s">
        <v>573</v>
      </c>
      <c r="H22" s="219" t="s">
        <v>49</v>
      </c>
      <c r="I22" s="235">
        <v>2.587</v>
      </c>
      <c r="J22" s="236" t="s">
        <v>301</v>
      </c>
      <c r="K22" s="174">
        <v>3002460</v>
      </c>
      <c r="L22" s="205">
        <f t="shared" si="0"/>
        <v>1501230</v>
      </c>
      <c r="M22" s="174">
        <f t="shared" si="1"/>
        <v>1501230</v>
      </c>
      <c r="N22" s="192">
        <v>0.5</v>
      </c>
      <c r="O22" s="193">
        <v>0</v>
      </c>
      <c r="P22" s="193">
        <v>0</v>
      </c>
      <c r="Q22" s="206">
        <v>0</v>
      </c>
      <c r="R22" s="193">
        <f t="shared" si="6"/>
        <v>1501230</v>
      </c>
      <c r="S22" s="266"/>
      <c r="T22" s="266"/>
      <c r="U22" s="267"/>
      <c r="V22" s="265"/>
      <c r="W22" s="265"/>
      <c r="X22" s="265"/>
      <c r="Y22" s="31" t="b">
        <f t="shared" si="2"/>
        <v>1</v>
      </c>
      <c r="Z22" s="149">
        <f t="shared" si="3"/>
        <v>0.5</v>
      </c>
      <c r="AA22" s="150" t="b">
        <f t="shared" si="4"/>
        <v>1</v>
      </c>
      <c r="AB22" s="150" t="b">
        <f t="shared" si="5"/>
        <v>1</v>
      </c>
    </row>
    <row r="23" spans="1:28" s="20" customFormat="1" ht="36.75" customHeight="1">
      <c r="A23" s="228">
        <v>21</v>
      </c>
      <c r="B23" s="227">
        <v>403</v>
      </c>
      <c r="C23" s="227" t="s">
        <v>106</v>
      </c>
      <c r="D23" s="227" t="s">
        <v>139</v>
      </c>
      <c r="E23" s="227">
        <v>2002023</v>
      </c>
      <c r="F23" s="227" t="s">
        <v>52</v>
      </c>
      <c r="G23" s="234" t="s">
        <v>574</v>
      </c>
      <c r="H23" s="219" t="s">
        <v>50</v>
      </c>
      <c r="I23" s="235">
        <v>3.34</v>
      </c>
      <c r="J23" s="236" t="s">
        <v>259</v>
      </c>
      <c r="K23" s="174">
        <v>4387454.89</v>
      </c>
      <c r="L23" s="205">
        <f t="shared" si="0"/>
        <v>2193727.44</v>
      </c>
      <c r="M23" s="174">
        <f t="shared" si="1"/>
        <v>2193727.4499999997</v>
      </c>
      <c r="N23" s="192">
        <v>0.5</v>
      </c>
      <c r="O23" s="193">
        <v>0</v>
      </c>
      <c r="P23" s="193">
        <v>0</v>
      </c>
      <c r="Q23" s="206">
        <v>0</v>
      </c>
      <c r="R23" s="193">
        <f t="shared" si="6"/>
        <v>2193727.44</v>
      </c>
      <c r="S23" s="266"/>
      <c r="T23" s="266"/>
      <c r="U23" s="267"/>
      <c r="V23" s="265"/>
      <c r="W23" s="265"/>
      <c r="X23" s="265"/>
      <c r="Y23" s="31" t="b">
        <f t="shared" si="2"/>
        <v>1</v>
      </c>
      <c r="Z23" s="149">
        <f t="shared" si="3"/>
        <v>0.5</v>
      </c>
      <c r="AA23" s="150" t="b">
        <f t="shared" si="4"/>
        <v>1</v>
      </c>
      <c r="AB23" s="150" t="b">
        <f t="shared" si="5"/>
        <v>1</v>
      </c>
    </row>
    <row r="24" spans="1:28" s="20" customFormat="1" ht="36.75" customHeight="1">
      <c r="A24" s="220">
        <v>22</v>
      </c>
      <c r="B24" s="220">
        <v>244</v>
      </c>
      <c r="C24" s="220" t="s">
        <v>65</v>
      </c>
      <c r="D24" s="220" t="s">
        <v>66</v>
      </c>
      <c r="E24" s="220">
        <v>2062011</v>
      </c>
      <c r="F24" s="220" t="s">
        <v>62</v>
      </c>
      <c r="G24" s="221" t="s">
        <v>575</v>
      </c>
      <c r="H24" s="184" t="s">
        <v>49</v>
      </c>
      <c r="I24" s="222">
        <v>1.3</v>
      </c>
      <c r="J24" s="223" t="s">
        <v>565</v>
      </c>
      <c r="K24" s="37">
        <v>11141768</v>
      </c>
      <c r="L24" s="173">
        <f t="shared" si="0"/>
        <v>5570884</v>
      </c>
      <c r="M24" s="37">
        <f t="shared" si="1"/>
        <v>5570884</v>
      </c>
      <c r="N24" s="183">
        <v>0.5</v>
      </c>
      <c r="O24" s="175">
        <v>0</v>
      </c>
      <c r="P24" s="175">
        <v>0</v>
      </c>
      <c r="Q24" s="179">
        <v>0</v>
      </c>
      <c r="R24" s="175">
        <f>141768*N24</f>
        <v>70884</v>
      </c>
      <c r="S24" s="175">
        <f>7000000*N24</f>
        <v>3500000</v>
      </c>
      <c r="T24" s="175">
        <f>4000000*N24</f>
        <v>2000000</v>
      </c>
      <c r="U24" s="268"/>
      <c r="V24" s="265"/>
      <c r="W24" s="265"/>
      <c r="X24" s="265"/>
      <c r="Y24" s="31" t="b">
        <f t="shared" si="2"/>
        <v>1</v>
      </c>
      <c r="Z24" s="149">
        <f t="shared" si="3"/>
        <v>0.5</v>
      </c>
      <c r="AA24" s="150" t="b">
        <f t="shared" si="4"/>
        <v>1</v>
      </c>
      <c r="AB24" s="150" t="b">
        <f t="shared" si="5"/>
        <v>1</v>
      </c>
    </row>
    <row r="25" spans="1:28" s="20" customFormat="1" ht="36.75" customHeight="1">
      <c r="A25" s="228">
        <v>23</v>
      </c>
      <c r="B25" s="228">
        <v>141</v>
      </c>
      <c r="C25" s="227" t="s">
        <v>106</v>
      </c>
      <c r="D25" s="227" t="s">
        <v>51</v>
      </c>
      <c r="E25" s="227">
        <v>2002013</v>
      </c>
      <c r="F25" s="227" t="s">
        <v>52</v>
      </c>
      <c r="G25" s="234" t="s">
        <v>576</v>
      </c>
      <c r="H25" s="219" t="s">
        <v>49</v>
      </c>
      <c r="I25" s="235">
        <v>0.708</v>
      </c>
      <c r="J25" s="232" t="s">
        <v>491</v>
      </c>
      <c r="K25" s="174">
        <v>4322121.48</v>
      </c>
      <c r="L25" s="205">
        <f t="shared" si="0"/>
        <v>2161060.74</v>
      </c>
      <c r="M25" s="174">
        <f t="shared" si="1"/>
        <v>2161060.74</v>
      </c>
      <c r="N25" s="192">
        <v>0.5</v>
      </c>
      <c r="O25" s="193">
        <v>0</v>
      </c>
      <c r="P25" s="193">
        <v>0</v>
      </c>
      <c r="Q25" s="206">
        <v>0</v>
      </c>
      <c r="R25" s="193">
        <f>L25</f>
        <v>2161060.74</v>
      </c>
      <c r="S25" s="193"/>
      <c r="T25" s="266"/>
      <c r="U25" s="267"/>
      <c r="V25" s="265"/>
      <c r="W25" s="265"/>
      <c r="X25" s="265"/>
      <c r="Y25" s="31" t="b">
        <f t="shared" si="2"/>
        <v>1</v>
      </c>
      <c r="Z25" s="149">
        <f t="shared" si="3"/>
        <v>0.5</v>
      </c>
      <c r="AA25" s="150" t="b">
        <f t="shared" si="4"/>
        <v>1</v>
      </c>
      <c r="AB25" s="150" t="b">
        <f t="shared" si="5"/>
        <v>1</v>
      </c>
    </row>
    <row r="26" spans="1:28" s="20" customFormat="1" ht="36.75" customHeight="1">
      <c r="A26" s="220">
        <v>24</v>
      </c>
      <c r="B26" s="220">
        <v>242</v>
      </c>
      <c r="C26" s="220" t="s">
        <v>65</v>
      </c>
      <c r="D26" s="220" t="s">
        <v>66</v>
      </c>
      <c r="E26" s="220">
        <v>2062011</v>
      </c>
      <c r="F26" s="220" t="s">
        <v>62</v>
      </c>
      <c r="G26" s="221" t="s">
        <v>577</v>
      </c>
      <c r="H26" s="184" t="s">
        <v>50</v>
      </c>
      <c r="I26" s="222">
        <v>0.48</v>
      </c>
      <c r="J26" s="223" t="s">
        <v>565</v>
      </c>
      <c r="K26" s="37">
        <v>4954537</v>
      </c>
      <c r="L26" s="173">
        <f t="shared" si="0"/>
        <v>2477268.5</v>
      </c>
      <c r="M26" s="37">
        <f t="shared" si="1"/>
        <v>2477268.5</v>
      </c>
      <c r="N26" s="183">
        <v>0.5</v>
      </c>
      <c r="O26" s="175">
        <v>0</v>
      </c>
      <c r="P26" s="175">
        <v>0</v>
      </c>
      <c r="Q26" s="179">
        <v>0</v>
      </c>
      <c r="R26" s="175">
        <f>54537*N26</f>
        <v>27268.5</v>
      </c>
      <c r="S26" s="175">
        <f>3430000*N26</f>
        <v>1715000</v>
      </c>
      <c r="T26" s="175">
        <f>1470000*N26</f>
        <v>735000</v>
      </c>
      <c r="U26" s="268"/>
      <c r="V26" s="265"/>
      <c r="W26" s="265"/>
      <c r="X26" s="265"/>
      <c r="Y26" s="31" t="b">
        <f t="shared" si="2"/>
        <v>1</v>
      </c>
      <c r="Z26" s="149">
        <f t="shared" si="3"/>
        <v>0.5</v>
      </c>
      <c r="AA26" s="150" t="b">
        <f t="shared" si="4"/>
        <v>1</v>
      </c>
      <c r="AB26" s="150" t="b">
        <f t="shared" si="5"/>
        <v>1</v>
      </c>
    </row>
    <row r="27" spans="1:28" s="20" customFormat="1" ht="36.75" customHeight="1">
      <c r="A27" s="220">
        <v>25</v>
      </c>
      <c r="B27" s="220">
        <v>151</v>
      </c>
      <c r="C27" s="220" t="s">
        <v>65</v>
      </c>
      <c r="D27" s="220" t="s">
        <v>60</v>
      </c>
      <c r="E27" s="248">
        <v>2002133</v>
      </c>
      <c r="F27" s="220" t="s">
        <v>52</v>
      </c>
      <c r="G27" s="221" t="s">
        <v>578</v>
      </c>
      <c r="H27" s="184" t="s">
        <v>49</v>
      </c>
      <c r="I27" s="222">
        <v>0.31</v>
      </c>
      <c r="J27" s="223" t="s">
        <v>282</v>
      </c>
      <c r="K27" s="37">
        <v>688170</v>
      </c>
      <c r="L27" s="173">
        <f t="shared" si="0"/>
        <v>344085</v>
      </c>
      <c r="M27" s="37">
        <f t="shared" si="1"/>
        <v>344085</v>
      </c>
      <c r="N27" s="183">
        <v>0.5</v>
      </c>
      <c r="O27" s="175">
        <v>0</v>
      </c>
      <c r="P27" s="175">
        <v>0</v>
      </c>
      <c r="Q27" s="179">
        <v>0</v>
      </c>
      <c r="R27" s="175">
        <f>150000*N27</f>
        <v>75000</v>
      </c>
      <c r="S27" s="175">
        <f>538170*N27</f>
        <v>269085</v>
      </c>
      <c r="T27" s="175"/>
      <c r="U27" s="268"/>
      <c r="V27" s="265"/>
      <c r="W27" s="265"/>
      <c r="X27" s="265"/>
      <c r="Y27" s="31" t="b">
        <f t="shared" si="2"/>
        <v>1</v>
      </c>
      <c r="Z27" s="149">
        <f t="shared" si="3"/>
        <v>0.5</v>
      </c>
      <c r="AA27" s="150" t="b">
        <f t="shared" si="4"/>
        <v>1</v>
      </c>
      <c r="AB27" s="150" t="b">
        <f t="shared" si="5"/>
        <v>1</v>
      </c>
    </row>
    <row r="28" spans="1:28" s="20" customFormat="1" ht="36.75" customHeight="1">
      <c r="A28" s="220">
        <v>26</v>
      </c>
      <c r="B28" s="220">
        <v>128</v>
      </c>
      <c r="C28" s="220" t="s">
        <v>65</v>
      </c>
      <c r="D28" s="220" t="s">
        <v>51</v>
      </c>
      <c r="E28" s="220">
        <v>2002013</v>
      </c>
      <c r="F28" s="220" t="s">
        <v>52</v>
      </c>
      <c r="G28" s="221" t="s">
        <v>579</v>
      </c>
      <c r="H28" s="184" t="s">
        <v>49</v>
      </c>
      <c r="I28" s="222">
        <v>0.133</v>
      </c>
      <c r="J28" s="223" t="s">
        <v>336</v>
      </c>
      <c r="K28" s="37">
        <v>518002.2</v>
      </c>
      <c r="L28" s="173">
        <f t="shared" si="0"/>
        <v>259001.1</v>
      </c>
      <c r="M28" s="37">
        <f t="shared" si="1"/>
        <v>259001.1</v>
      </c>
      <c r="N28" s="183">
        <v>0.5</v>
      </c>
      <c r="O28" s="175">
        <v>0</v>
      </c>
      <c r="P28" s="175">
        <v>0</v>
      </c>
      <c r="Q28" s="179">
        <v>0</v>
      </c>
      <c r="R28" s="175">
        <f>51832.2*N28</f>
        <v>25916.1</v>
      </c>
      <c r="S28" s="175">
        <f>466170*N28</f>
        <v>233085</v>
      </c>
      <c r="T28" s="175"/>
      <c r="U28" s="268"/>
      <c r="V28" s="265"/>
      <c r="W28" s="265"/>
      <c r="X28" s="265"/>
      <c r="Y28" s="31" t="b">
        <f t="shared" si="2"/>
        <v>1</v>
      </c>
      <c r="Z28" s="149">
        <f t="shared" si="3"/>
        <v>0.5</v>
      </c>
      <c r="AA28" s="150" t="b">
        <f t="shared" si="4"/>
        <v>1</v>
      </c>
      <c r="AB28" s="150" t="b">
        <f t="shared" si="5"/>
        <v>1</v>
      </c>
    </row>
    <row r="29" spans="1:28" s="20" customFormat="1" ht="36.75" customHeight="1">
      <c r="A29" s="220">
        <v>27</v>
      </c>
      <c r="B29" s="220">
        <v>301</v>
      </c>
      <c r="C29" s="220" t="s">
        <v>65</v>
      </c>
      <c r="D29" s="220" t="s">
        <v>408</v>
      </c>
      <c r="E29" s="248">
        <v>2002063</v>
      </c>
      <c r="F29" s="220" t="s">
        <v>52</v>
      </c>
      <c r="G29" s="221" t="s">
        <v>580</v>
      </c>
      <c r="H29" s="184" t="s">
        <v>50</v>
      </c>
      <c r="I29" s="222">
        <v>0.5</v>
      </c>
      <c r="J29" s="223" t="s">
        <v>425</v>
      </c>
      <c r="K29" s="37">
        <v>1554000</v>
      </c>
      <c r="L29" s="173">
        <f t="shared" si="0"/>
        <v>932400</v>
      </c>
      <c r="M29" s="37">
        <f t="shared" si="1"/>
        <v>621600</v>
      </c>
      <c r="N29" s="183">
        <v>0.6</v>
      </c>
      <c r="O29" s="175">
        <v>0</v>
      </c>
      <c r="P29" s="175">
        <v>0</v>
      </c>
      <c r="Q29" s="179">
        <v>0</v>
      </c>
      <c r="R29" s="175">
        <f>294000*N29</f>
        <v>176400</v>
      </c>
      <c r="S29" s="175">
        <f>560000*N29</f>
        <v>336000</v>
      </c>
      <c r="T29" s="175">
        <f>700000*N29</f>
        <v>420000</v>
      </c>
      <c r="U29" s="268"/>
      <c r="V29" s="265"/>
      <c r="W29" s="265"/>
      <c r="X29" s="265"/>
      <c r="Y29" s="31" t="b">
        <f t="shared" si="2"/>
        <v>1</v>
      </c>
      <c r="Z29" s="149">
        <f t="shared" si="3"/>
        <v>0.6</v>
      </c>
      <c r="AA29" s="150" t="b">
        <f t="shared" si="4"/>
        <v>1</v>
      </c>
      <c r="AB29" s="150" t="b">
        <f t="shared" si="5"/>
        <v>1</v>
      </c>
    </row>
    <row r="30" spans="1:28" s="20" customFormat="1" ht="36.75" customHeight="1">
      <c r="A30" s="220">
        <v>28</v>
      </c>
      <c r="B30" s="220">
        <v>134</v>
      </c>
      <c r="C30" s="220" t="s">
        <v>65</v>
      </c>
      <c r="D30" s="220" t="s">
        <v>51</v>
      </c>
      <c r="E30" s="220">
        <v>2002013</v>
      </c>
      <c r="F30" s="220" t="s">
        <v>52</v>
      </c>
      <c r="G30" s="221" t="s">
        <v>581</v>
      </c>
      <c r="H30" s="225" t="s">
        <v>49</v>
      </c>
      <c r="I30" s="225">
        <v>0.736</v>
      </c>
      <c r="J30" s="223" t="s">
        <v>582</v>
      </c>
      <c r="K30" s="173">
        <v>5706813.46</v>
      </c>
      <c r="L30" s="173">
        <f t="shared" si="0"/>
        <v>2853406.73</v>
      </c>
      <c r="M30" s="37">
        <f t="shared" si="1"/>
        <v>2853406.73</v>
      </c>
      <c r="N30" s="183">
        <v>0.5</v>
      </c>
      <c r="O30" s="175">
        <v>0</v>
      </c>
      <c r="P30" s="175">
        <v>0</v>
      </c>
      <c r="Q30" s="179">
        <v>0</v>
      </c>
      <c r="R30" s="175">
        <f>6580.5*N30</f>
        <v>3290.25</v>
      </c>
      <c r="S30" s="175">
        <f>3500000*N30</f>
        <v>1750000</v>
      </c>
      <c r="T30" s="175">
        <f>2200232.96*N30</f>
        <v>1100116.48</v>
      </c>
      <c r="U30" s="175"/>
      <c r="V30" s="265"/>
      <c r="W30" s="265"/>
      <c r="X30" s="265"/>
      <c r="Y30" s="31" t="b">
        <f t="shared" si="2"/>
        <v>1</v>
      </c>
      <c r="Z30" s="149">
        <f t="shared" si="3"/>
        <v>0.5</v>
      </c>
      <c r="AA30" s="150" t="b">
        <f t="shared" si="4"/>
        <v>1</v>
      </c>
      <c r="AB30" s="150" t="b">
        <f t="shared" si="5"/>
        <v>1</v>
      </c>
    </row>
    <row r="31" spans="1:28" s="20" customFormat="1" ht="36.75" customHeight="1">
      <c r="A31" s="228">
        <v>29</v>
      </c>
      <c r="B31" s="228">
        <v>30</v>
      </c>
      <c r="C31" s="227" t="s">
        <v>106</v>
      </c>
      <c r="D31" s="228" t="s">
        <v>210</v>
      </c>
      <c r="E31" s="250">
        <v>2008063</v>
      </c>
      <c r="F31" s="228" t="s">
        <v>59</v>
      </c>
      <c r="G31" s="230" t="s">
        <v>236</v>
      </c>
      <c r="H31" s="218" t="s">
        <v>50</v>
      </c>
      <c r="I31" s="231">
        <v>0.422</v>
      </c>
      <c r="J31" s="228" t="s">
        <v>463</v>
      </c>
      <c r="K31" s="174">
        <v>884134.37</v>
      </c>
      <c r="L31" s="205">
        <f t="shared" si="0"/>
        <v>530480.62</v>
      </c>
      <c r="M31" s="174">
        <f t="shared" si="1"/>
        <v>353653.75</v>
      </c>
      <c r="N31" s="192">
        <v>0.6</v>
      </c>
      <c r="O31" s="193">
        <v>0</v>
      </c>
      <c r="P31" s="193">
        <v>0</v>
      </c>
      <c r="Q31" s="206">
        <v>0</v>
      </c>
      <c r="R31" s="178">
        <f>L31</f>
        <v>530480.62</v>
      </c>
      <c r="S31" s="193"/>
      <c r="T31" s="193"/>
      <c r="U31" s="264"/>
      <c r="V31" s="265"/>
      <c r="W31" s="265"/>
      <c r="X31" s="265"/>
      <c r="Y31" s="31" t="b">
        <f t="shared" si="2"/>
        <v>1</v>
      </c>
      <c r="Z31" s="149">
        <f t="shared" si="3"/>
        <v>0.6</v>
      </c>
      <c r="AA31" s="150" t="b">
        <f t="shared" si="4"/>
        <v>1</v>
      </c>
      <c r="AB31" s="150" t="b">
        <f t="shared" si="5"/>
        <v>1</v>
      </c>
    </row>
    <row r="32" spans="1:28" s="20" customFormat="1" ht="36.75" customHeight="1">
      <c r="A32" s="228">
        <v>30</v>
      </c>
      <c r="B32" s="227">
        <v>76</v>
      </c>
      <c r="C32" s="227" t="s">
        <v>106</v>
      </c>
      <c r="D32" s="227" t="s">
        <v>432</v>
      </c>
      <c r="E32" s="250">
        <v>2007072</v>
      </c>
      <c r="F32" s="228" t="s">
        <v>62</v>
      </c>
      <c r="G32" s="230" t="s">
        <v>583</v>
      </c>
      <c r="H32" s="219" t="s">
        <v>50</v>
      </c>
      <c r="I32" s="235">
        <v>0.36</v>
      </c>
      <c r="J32" s="228" t="s">
        <v>423</v>
      </c>
      <c r="K32" s="174">
        <v>619844.73</v>
      </c>
      <c r="L32" s="205">
        <f t="shared" si="0"/>
        <v>309922.36</v>
      </c>
      <c r="M32" s="174">
        <f t="shared" si="1"/>
        <v>309922.37</v>
      </c>
      <c r="N32" s="192">
        <v>0.5</v>
      </c>
      <c r="O32" s="193">
        <v>0</v>
      </c>
      <c r="P32" s="193">
        <v>0</v>
      </c>
      <c r="Q32" s="206">
        <v>0</v>
      </c>
      <c r="R32" s="178">
        <f>L32</f>
        <v>309922.36</v>
      </c>
      <c r="S32" s="193"/>
      <c r="T32" s="266"/>
      <c r="U32" s="267"/>
      <c r="V32" s="265"/>
      <c r="W32" s="265"/>
      <c r="X32" s="265"/>
      <c r="Y32" s="31" t="b">
        <f t="shared" si="2"/>
        <v>1</v>
      </c>
      <c r="Z32" s="149">
        <f t="shared" si="3"/>
        <v>0.5</v>
      </c>
      <c r="AA32" s="150" t="b">
        <f t="shared" si="4"/>
        <v>1</v>
      </c>
      <c r="AB32" s="150" t="b">
        <f t="shared" si="5"/>
        <v>1</v>
      </c>
    </row>
    <row r="33" spans="1:28" s="20" customFormat="1" ht="36.75" customHeight="1">
      <c r="A33" s="228">
        <v>31</v>
      </c>
      <c r="B33" s="227">
        <v>286</v>
      </c>
      <c r="C33" s="227" t="s">
        <v>106</v>
      </c>
      <c r="D33" s="227" t="s">
        <v>93</v>
      </c>
      <c r="E33" s="227">
        <v>2014011</v>
      </c>
      <c r="F33" s="227" t="s">
        <v>61</v>
      </c>
      <c r="G33" s="234" t="s">
        <v>584</v>
      </c>
      <c r="H33" s="219" t="s">
        <v>47</v>
      </c>
      <c r="I33" s="235">
        <v>2.232</v>
      </c>
      <c r="J33" s="236" t="s">
        <v>282</v>
      </c>
      <c r="K33" s="244">
        <v>14956795.73</v>
      </c>
      <c r="L33" s="173">
        <f aca="true" t="shared" si="7" ref="L33:L63">ROUNDDOWN(K33*N33,2)</f>
        <v>8974077.43</v>
      </c>
      <c r="M33" s="37">
        <f aca="true" t="shared" si="8" ref="M33:M63">K33-L33</f>
        <v>5982718.300000001</v>
      </c>
      <c r="N33" s="183">
        <v>0.6</v>
      </c>
      <c r="O33" s="175">
        <v>0</v>
      </c>
      <c r="P33" s="175">
        <v>0</v>
      </c>
      <c r="Q33" s="179">
        <v>0</v>
      </c>
      <c r="R33" s="175">
        <f>2000000*N33</f>
        <v>1200000</v>
      </c>
      <c r="S33" s="175">
        <f>ROUNDDOWN(12956795.73*N33,2)</f>
        <v>7774077.43</v>
      </c>
      <c r="T33" s="266"/>
      <c r="U33" s="267"/>
      <c r="V33" s="265"/>
      <c r="W33" s="265"/>
      <c r="X33" s="265"/>
      <c r="Y33" s="31" t="b">
        <f aca="true" t="shared" si="9" ref="Y33:Y63">L33=SUM(O33:X33)</f>
        <v>1</v>
      </c>
      <c r="Z33" s="149">
        <f aca="true" t="shared" si="10" ref="Z33:Z63">ROUND(L33/K33,4)</f>
        <v>0.6</v>
      </c>
      <c r="AA33" s="150" t="b">
        <f aca="true" t="shared" si="11" ref="AA33:AA63">Z33=N33</f>
        <v>1</v>
      </c>
      <c r="AB33" s="150" t="b">
        <f aca="true" t="shared" si="12" ref="AB33:AB63">K33=L33+M33</f>
        <v>1</v>
      </c>
    </row>
    <row r="34" spans="1:28" s="20" customFormat="1" ht="36.75" customHeight="1">
      <c r="A34" s="220">
        <v>32</v>
      </c>
      <c r="B34" s="220">
        <v>146</v>
      </c>
      <c r="C34" s="220" t="s">
        <v>65</v>
      </c>
      <c r="D34" s="220" t="s">
        <v>60</v>
      </c>
      <c r="E34" s="248">
        <v>2002133</v>
      </c>
      <c r="F34" s="220" t="s">
        <v>52</v>
      </c>
      <c r="G34" s="221" t="s">
        <v>585</v>
      </c>
      <c r="H34" s="184" t="s">
        <v>50</v>
      </c>
      <c r="I34" s="222">
        <v>0.26</v>
      </c>
      <c r="J34" s="223" t="s">
        <v>282</v>
      </c>
      <c r="K34" s="37">
        <v>892500</v>
      </c>
      <c r="L34" s="173">
        <f t="shared" si="7"/>
        <v>446250</v>
      </c>
      <c r="M34" s="37">
        <f t="shared" si="8"/>
        <v>446250</v>
      </c>
      <c r="N34" s="183">
        <v>0.5</v>
      </c>
      <c r="O34" s="175">
        <v>0</v>
      </c>
      <c r="P34" s="175">
        <v>0</v>
      </c>
      <c r="Q34" s="179">
        <v>0</v>
      </c>
      <c r="R34" s="175">
        <f>200000*N34</f>
        <v>100000</v>
      </c>
      <c r="S34" s="175">
        <f>692500*N34</f>
        <v>346250</v>
      </c>
      <c r="T34" s="175"/>
      <c r="U34" s="268"/>
      <c r="V34" s="265"/>
      <c r="W34" s="265"/>
      <c r="X34" s="265"/>
      <c r="Y34" s="31" t="b">
        <f t="shared" si="9"/>
        <v>1</v>
      </c>
      <c r="Z34" s="149">
        <f t="shared" si="10"/>
        <v>0.5</v>
      </c>
      <c r="AA34" s="150" t="b">
        <f t="shared" si="11"/>
        <v>1</v>
      </c>
      <c r="AB34" s="150" t="b">
        <f t="shared" si="12"/>
        <v>1</v>
      </c>
    </row>
    <row r="35" spans="1:28" s="20" customFormat="1" ht="36.75" customHeight="1">
      <c r="A35" s="220">
        <v>33</v>
      </c>
      <c r="B35" s="220">
        <v>149</v>
      </c>
      <c r="C35" s="220" t="s">
        <v>65</v>
      </c>
      <c r="D35" s="220" t="s">
        <v>60</v>
      </c>
      <c r="E35" s="248">
        <v>2002133</v>
      </c>
      <c r="F35" s="220" t="s">
        <v>52</v>
      </c>
      <c r="G35" s="221" t="s">
        <v>586</v>
      </c>
      <c r="H35" s="184" t="s">
        <v>49</v>
      </c>
      <c r="I35" s="222">
        <v>0.235</v>
      </c>
      <c r="J35" s="223" t="s">
        <v>282</v>
      </c>
      <c r="K35" s="37">
        <v>627000</v>
      </c>
      <c r="L35" s="173">
        <f t="shared" si="7"/>
        <v>313500</v>
      </c>
      <c r="M35" s="37">
        <f t="shared" si="8"/>
        <v>313500</v>
      </c>
      <c r="N35" s="183">
        <v>0.5</v>
      </c>
      <c r="O35" s="175">
        <v>0</v>
      </c>
      <c r="P35" s="175">
        <v>0</v>
      </c>
      <c r="Q35" s="179">
        <v>0</v>
      </c>
      <c r="R35" s="175">
        <f>200000*N35</f>
        <v>100000</v>
      </c>
      <c r="S35" s="175">
        <f>427000*N35</f>
        <v>213500</v>
      </c>
      <c r="T35" s="175"/>
      <c r="U35" s="268"/>
      <c r="V35" s="265"/>
      <c r="W35" s="265"/>
      <c r="X35" s="265"/>
      <c r="Y35" s="31" t="b">
        <f t="shared" si="9"/>
        <v>1</v>
      </c>
      <c r="Z35" s="149">
        <f t="shared" si="10"/>
        <v>0.5</v>
      </c>
      <c r="AA35" s="150" t="b">
        <f t="shared" si="11"/>
        <v>1</v>
      </c>
      <c r="AB35" s="150" t="b">
        <f t="shared" si="12"/>
        <v>1</v>
      </c>
    </row>
    <row r="36" spans="1:28" s="20" customFormat="1" ht="36.75" customHeight="1">
      <c r="A36" s="228">
        <v>34</v>
      </c>
      <c r="B36" s="228">
        <v>33</v>
      </c>
      <c r="C36" s="227" t="s">
        <v>106</v>
      </c>
      <c r="D36" s="228" t="s">
        <v>210</v>
      </c>
      <c r="E36" s="250">
        <v>2008063</v>
      </c>
      <c r="F36" s="228" t="s">
        <v>59</v>
      </c>
      <c r="G36" s="230" t="s">
        <v>587</v>
      </c>
      <c r="H36" s="218" t="s">
        <v>50</v>
      </c>
      <c r="I36" s="231">
        <v>0.572</v>
      </c>
      <c r="J36" s="228" t="s">
        <v>463</v>
      </c>
      <c r="K36" s="174">
        <v>1266833.33</v>
      </c>
      <c r="L36" s="205">
        <f t="shared" si="7"/>
        <v>760099.99</v>
      </c>
      <c r="M36" s="174">
        <f t="shared" si="8"/>
        <v>506733.3400000001</v>
      </c>
      <c r="N36" s="192">
        <v>0.6</v>
      </c>
      <c r="O36" s="193">
        <v>0</v>
      </c>
      <c r="P36" s="193">
        <v>0</v>
      </c>
      <c r="Q36" s="206">
        <v>0</v>
      </c>
      <c r="R36" s="178">
        <f>L36</f>
        <v>760099.99</v>
      </c>
      <c r="S36" s="193"/>
      <c r="T36" s="193"/>
      <c r="U36" s="264"/>
      <c r="V36" s="265"/>
      <c r="W36" s="265"/>
      <c r="X36" s="265"/>
      <c r="Y36" s="31" t="b">
        <f t="shared" si="9"/>
        <v>1</v>
      </c>
      <c r="Z36" s="149">
        <f t="shared" si="10"/>
        <v>0.6</v>
      </c>
      <c r="AA36" s="150" t="b">
        <f t="shared" si="11"/>
        <v>1</v>
      </c>
      <c r="AB36" s="150" t="b">
        <f t="shared" si="12"/>
        <v>1</v>
      </c>
    </row>
    <row r="37" spans="1:28" s="20" customFormat="1" ht="36.75" customHeight="1">
      <c r="A37" s="220">
        <v>35</v>
      </c>
      <c r="B37" s="220">
        <v>292</v>
      </c>
      <c r="C37" s="220" t="s">
        <v>65</v>
      </c>
      <c r="D37" s="220" t="s">
        <v>408</v>
      </c>
      <c r="E37" s="248">
        <v>2002063</v>
      </c>
      <c r="F37" s="220" t="s">
        <v>52</v>
      </c>
      <c r="G37" s="221" t="s">
        <v>588</v>
      </c>
      <c r="H37" s="184" t="s">
        <v>50</v>
      </c>
      <c r="I37" s="222">
        <v>0.26</v>
      </c>
      <c r="J37" s="223" t="s">
        <v>425</v>
      </c>
      <c r="K37" s="37">
        <v>1604000</v>
      </c>
      <c r="L37" s="173">
        <f t="shared" si="7"/>
        <v>962400</v>
      </c>
      <c r="M37" s="37">
        <f t="shared" si="8"/>
        <v>641600</v>
      </c>
      <c r="N37" s="183">
        <v>0.6</v>
      </c>
      <c r="O37" s="175">
        <v>0</v>
      </c>
      <c r="P37" s="175">
        <v>0</v>
      </c>
      <c r="Q37" s="179">
        <v>0</v>
      </c>
      <c r="R37" s="175">
        <f>204000*N37</f>
        <v>122400</v>
      </c>
      <c r="S37" s="175">
        <f>600000*N37</f>
        <v>360000</v>
      </c>
      <c r="T37" s="175">
        <f>800000*N37</f>
        <v>480000</v>
      </c>
      <c r="U37" s="268"/>
      <c r="V37" s="265"/>
      <c r="W37" s="265"/>
      <c r="X37" s="265"/>
      <c r="Y37" s="31" t="b">
        <f t="shared" si="9"/>
        <v>1</v>
      </c>
      <c r="Z37" s="149">
        <f t="shared" si="10"/>
        <v>0.6</v>
      </c>
      <c r="AA37" s="150" t="b">
        <f t="shared" si="11"/>
        <v>1</v>
      </c>
      <c r="AB37" s="150" t="b">
        <f t="shared" si="12"/>
        <v>1</v>
      </c>
    </row>
    <row r="38" spans="1:28" s="20" customFormat="1" ht="36.75" customHeight="1">
      <c r="A38" s="228">
        <v>36</v>
      </c>
      <c r="B38" s="227">
        <v>241</v>
      </c>
      <c r="C38" s="227" t="s">
        <v>106</v>
      </c>
      <c r="D38" s="227" t="s">
        <v>66</v>
      </c>
      <c r="E38" s="227">
        <v>2062011</v>
      </c>
      <c r="F38" s="227" t="s">
        <v>62</v>
      </c>
      <c r="G38" s="234" t="s">
        <v>589</v>
      </c>
      <c r="H38" s="219" t="s">
        <v>50</v>
      </c>
      <c r="I38" s="235">
        <v>0.248</v>
      </c>
      <c r="J38" s="236" t="s">
        <v>590</v>
      </c>
      <c r="K38" s="244">
        <v>1941342.55</v>
      </c>
      <c r="L38" s="205">
        <f t="shared" si="7"/>
        <v>970671.27</v>
      </c>
      <c r="M38" s="174">
        <f t="shared" si="8"/>
        <v>970671.28</v>
      </c>
      <c r="N38" s="192">
        <v>0.5</v>
      </c>
      <c r="O38" s="193">
        <v>0</v>
      </c>
      <c r="P38" s="193">
        <v>0</v>
      </c>
      <c r="Q38" s="206">
        <v>0</v>
      </c>
      <c r="R38" s="178">
        <f>L38</f>
        <v>970671.27</v>
      </c>
      <c r="S38" s="193"/>
      <c r="T38" s="266"/>
      <c r="U38" s="267"/>
      <c r="V38" s="265"/>
      <c r="W38" s="265"/>
      <c r="X38" s="265"/>
      <c r="Y38" s="31" t="b">
        <f t="shared" si="9"/>
        <v>1</v>
      </c>
      <c r="Z38" s="149">
        <f t="shared" si="10"/>
        <v>0.5</v>
      </c>
      <c r="AA38" s="150" t="b">
        <f t="shared" si="11"/>
        <v>1</v>
      </c>
      <c r="AB38" s="150" t="b">
        <f t="shared" si="12"/>
        <v>1</v>
      </c>
    </row>
    <row r="39" spans="1:28" s="20" customFormat="1" ht="36.75" customHeight="1">
      <c r="A39" s="228">
        <v>37</v>
      </c>
      <c r="B39" s="228">
        <v>221</v>
      </c>
      <c r="C39" s="227" t="s">
        <v>106</v>
      </c>
      <c r="D39" s="227" t="s">
        <v>196</v>
      </c>
      <c r="E39" s="250">
        <v>2001011</v>
      </c>
      <c r="F39" s="227" t="s">
        <v>157</v>
      </c>
      <c r="G39" s="234" t="s">
        <v>591</v>
      </c>
      <c r="H39" s="219" t="s">
        <v>47</v>
      </c>
      <c r="I39" s="235">
        <v>0.598</v>
      </c>
      <c r="J39" s="236" t="s">
        <v>301</v>
      </c>
      <c r="K39" s="244">
        <v>4656700</v>
      </c>
      <c r="L39" s="205">
        <f t="shared" si="7"/>
        <v>2328350</v>
      </c>
      <c r="M39" s="174">
        <f t="shared" si="8"/>
        <v>2328350</v>
      </c>
      <c r="N39" s="192">
        <v>0.5</v>
      </c>
      <c r="O39" s="193">
        <v>0</v>
      </c>
      <c r="P39" s="193">
        <v>0</v>
      </c>
      <c r="Q39" s="206">
        <v>0</v>
      </c>
      <c r="R39" s="178">
        <f>L39</f>
        <v>2328350</v>
      </c>
      <c r="S39" s="193"/>
      <c r="T39" s="266"/>
      <c r="U39" s="267"/>
      <c r="V39" s="265"/>
      <c r="W39" s="265"/>
      <c r="X39" s="265"/>
      <c r="Y39" s="31" t="b">
        <f t="shared" si="9"/>
        <v>1</v>
      </c>
      <c r="Z39" s="149">
        <f t="shared" si="10"/>
        <v>0.5</v>
      </c>
      <c r="AA39" s="150" t="b">
        <f t="shared" si="11"/>
        <v>1</v>
      </c>
      <c r="AB39" s="150" t="b">
        <f t="shared" si="12"/>
        <v>1</v>
      </c>
    </row>
    <row r="40" spans="1:28" s="20" customFormat="1" ht="36.75" customHeight="1">
      <c r="A40" s="228">
        <v>38</v>
      </c>
      <c r="B40" s="228">
        <v>308</v>
      </c>
      <c r="C40" s="227" t="s">
        <v>106</v>
      </c>
      <c r="D40" s="227" t="s">
        <v>508</v>
      </c>
      <c r="E40" s="227">
        <v>2003052</v>
      </c>
      <c r="F40" s="227" t="s">
        <v>55</v>
      </c>
      <c r="G40" s="234" t="s">
        <v>592</v>
      </c>
      <c r="H40" s="219" t="s">
        <v>50</v>
      </c>
      <c r="I40" s="231">
        <v>0.56</v>
      </c>
      <c r="J40" s="232" t="s">
        <v>436</v>
      </c>
      <c r="K40" s="174">
        <v>622000</v>
      </c>
      <c r="L40" s="205">
        <f t="shared" si="7"/>
        <v>311000</v>
      </c>
      <c r="M40" s="174">
        <f t="shared" si="8"/>
        <v>311000</v>
      </c>
      <c r="N40" s="192">
        <v>0.5</v>
      </c>
      <c r="O40" s="193">
        <v>0</v>
      </c>
      <c r="P40" s="193">
        <v>0</v>
      </c>
      <c r="Q40" s="206">
        <v>0</v>
      </c>
      <c r="R40" s="193">
        <f>L40</f>
        <v>311000</v>
      </c>
      <c r="S40" s="266"/>
      <c r="T40" s="266"/>
      <c r="U40" s="267"/>
      <c r="V40" s="265"/>
      <c r="W40" s="265"/>
      <c r="X40" s="265"/>
      <c r="Y40" s="31" t="b">
        <f t="shared" si="9"/>
        <v>1</v>
      </c>
      <c r="Z40" s="149">
        <f t="shared" si="10"/>
        <v>0.5</v>
      </c>
      <c r="AA40" s="150" t="b">
        <f t="shared" si="11"/>
        <v>1</v>
      </c>
      <c r="AB40" s="150" t="b">
        <f t="shared" si="12"/>
        <v>1</v>
      </c>
    </row>
    <row r="41" spans="1:28" s="20" customFormat="1" ht="36.75" customHeight="1">
      <c r="A41" s="220">
        <v>39</v>
      </c>
      <c r="B41" s="220">
        <v>322</v>
      </c>
      <c r="C41" s="220" t="s">
        <v>65</v>
      </c>
      <c r="D41" s="220" t="s">
        <v>209</v>
      </c>
      <c r="E41" s="248">
        <v>2002052</v>
      </c>
      <c r="F41" s="220" t="s">
        <v>52</v>
      </c>
      <c r="G41" s="221" t="s">
        <v>593</v>
      </c>
      <c r="H41" s="184" t="s">
        <v>49</v>
      </c>
      <c r="I41" s="222">
        <v>0.301</v>
      </c>
      <c r="J41" s="223" t="s">
        <v>454</v>
      </c>
      <c r="K41" s="37">
        <v>2048525.4</v>
      </c>
      <c r="L41" s="173">
        <f t="shared" si="7"/>
        <v>1024262.7</v>
      </c>
      <c r="M41" s="37">
        <f t="shared" si="8"/>
        <v>1024262.7</v>
      </c>
      <c r="N41" s="183">
        <v>0.5</v>
      </c>
      <c r="O41" s="175">
        <v>0</v>
      </c>
      <c r="P41" s="175">
        <v>0</v>
      </c>
      <c r="Q41" s="179">
        <v>0</v>
      </c>
      <c r="R41" s="175">
        <f>409705.08*N41</f>
        <v>204852.54</v>
      </c>
      <c r="S41" s="175">
        <f>1638820.32*N41</f>
        <v>819410.16</v>
      </c>
      <c r="T41" s="175"/>
      <c r="U41" s="268"/>
      <c r="V41" s="265"/>
      <c r="W41" s="265"/>
      <c r="X41" s="265"/>
      <c r="Y41" s="31" t="b">
        <f t="shared" si="9"/>
        <v>1</v>
      </c>
      <c r="Z41" s="149">
        <f t="shared" si="10"/>
        <v>0.5</v>
      </c>
      <c r="AA41" s="150" t="b">
        <f t="shared" si="11"/>
        <v>1</v>
      </c>
      <c r="AB41" s="150" t="b">
        <f t="shared" si="12"/>
        <v>1</v>
      </c>
    </row>
    <row r="42" spans="1:28" s="20" customFormat="1" ht="36.75" customHeight="1">
      <c r="A42" s="228">
        <v>40</v>
      </c>
      <c r="B42" s="228">
        <v>51</v>
      </c>
      <c r="C42" s="227" t="s">
        <v>106</v>
      </c>
      <c r="D42" s="227" t="s">
        <v>511</v>
      </c>
      <c r="E42" s="250">
        <v>2012062</v>
      </c>
      <c r="F42" s="227" t="s">
        <v>57</v>
      </c>
      <c r="G42" s="230" t="s">
        <v>594</v>
      </c>
      <c r="H42" s="218" t="s">
        <v>50</v>
      </c>
      <c r="I42" s="231">
        <v>1.126</v>
      </c>
      <c r="J42" s="228" t="s">
        <v>419</v>
      </c>
      <c r="K42" s="174">
        <v>1870365.63</v>
      </c>
      <c r="L42" s="205">
        <f t="shared" si="7"/>
        <v>935182.81</v>
      </c>
      <c r="M42" s="174">
        <f t="shared" si="8"/>
        <v>935182.8199999998</v>
      </c>
      <c r="N42" s="192">
        <v>0.5</v>
      </c>
      <c r="O42" s="193">
        <v>0</v>
      </c>
      <c r="P42" s="193">
        <v>0</v>
      </c>
      <c r="Q42" s="206">
        <v>0</v>
      </c>
      <c r="R42" s="193">
        <f>L42</f>
        <v>935182.81</v>
      </c>
      <c r="S42" s="193"/>
      <c r="T42" s="193"/>
      <c r="U42" s="264"/>
      <c r="V42" s="265"/>
      <c r="W42" s="265"/>
      <c r="X42" s="265"/>
      <c r="Y42" s="31" t="b">
        <f t="shared" si="9"/>
        <v>1</v>
      </c>
      <c r="Z42" s="149">
        <f t="shared" si="10"/>
        <v>0.5</v>
      </c>
      <c r="AA42" s="150" t="b">
        <f t="shared" si="11"/>
        <v>1</v>
      </c>
      <c r="AB42" s="150" t="b">
        <f t="shared" si="12"/>
        <v>1</v>
      </c>
    </row>
    <row r="43" spans="1:28" s="20" customFormat="1" ht="36.75" customHeight="1">
      <c r="A43" s="220">
        <v>41</v>
      </c>
      <c r="B43" s="220">
        <v>233</v>
      </c>
      <c r="C43" s="220" t="s">
        <v>65</v>
      </c>
      <c r="D43" s="220" t="s">
        <v>150</v>
      </c>
      <c r="E43" s="248">
        <v>2012022</v>
      </c>
      <c r="F43" s="220" t="s">
        <v>57</v>
      </c>
      <c r="G43" s="221" t="s">
        <v>595</v>
      </c>
      <c r="H43" s="184" t="s">
        <v>50</v>
      </c>
      <c r="I43" s="222">
        <v>1.33</v>
      </c>
      <c r="J43" s="223" t="s">
        <v>385</v>
      </c>
      <c r="K43" s="37">
        <v>4203040</v>
      </c>
      <c r="L43" s="173">
        <f t="shared" si="7"/>
        <v>2101520</v>
      </c>
      <c r="M43" s="37">
        <f t="shared" si="8"/>
        <v>2101520</v>
      </c>
      <c r="N43" s="183">
        <v>0.5</v>
      </c>
      <c r="O43" s="175">
        <v>0</v>
      </c>
      <c r="P43" s="175">
        <v>0</v>
      </c>
      <c r="Q43" s="179">
        <v>0</v>
      </c>
      <c r="R43" s="175">
        <f>2000000*N43</f>
        <v>1000000</v>
      </c>
      <c r="S43" s="175">
        <f>2203040*N43</f>
        <v>1101520</v>
      </c>
      <c r="T43" s="175"/>
      <c r="U43" s="268"/>
      <c r="V43" s="265"/>
      <c r="W43" s="265"/>
      <c r="X43" s="265"/>
      <c r="Y43" s="31" t="b">
        <f t="shared" si="9"/>
        <v>1</v>
      </c>
      <c r="Z43" s="149">
        <f t="shared" si="10"/>
        <v>0.5</v>
      </c>
      <c r="AA43" s="150" t="b">
        <f t="shared" si="11"/>
        <v>1</v>
      </c>
      <c r="AB43" s="150" t="b">
        <f t="shared" si="12"/>
        <v>1</v>
      </c>
    </row>
    <row r="44" spans="1:28" s="20" customFormat="1" ht="36.75" customHeight="1">
      <c r="A44" s="228">
        <v>42</v>
      </c>
      <c r="B44" s="227">
        <v>235</v>
      </c>
      <c r="C44" s="227" t="s">
        <v>106</v>
      </c>
      <c r="D44" s="227" t="s">
        <v>150</v>
      </c>
      <c r="E44" s="250">
        <v>2012022</v>
      </c>
      <c r="F44" s="227" t="s">
        <v>57</v>
      </c>
      <c r="G44" s="234" t="s">
        <v>596</v>
      </c>
      <c r="H44" s="249" t="s">
        <v>50</v>
      </c>
      <c r="I44" s="249">
        <v>0.602</v>
      </c>
      <c r="J44" s="236" t="s">
        <v>269</v>
      </c>
      <c r="K44" s="174">
        <v>1431056</v>
      </c>
      <c r="L44" s="205">
        <f t="shared" si="7"/>
        <v>715528</v>
      </c>
      <c r="M44" s="174">
        <f t="shared" si="8"/>
        <v>715528</v>
      </c>
      <c r="N44" s="192">
        <v>0.5</v>
      </c>
      <c r="O44" s="193">
        <v>0</v>
      </c>
      <c r="P44" s="193">
        <v>0</v>
      </c>
      <c r="Q44" s="206">
        <v>0</v>
      </c>
      <c r="R44" s="193">
        <f>L44</f>
        <v>715528</v>
      </c>
      <c r="S44" s="193"/>
      <c r="T44" s="266"/>
      <c r="U44" s="267"/>
      <c r="V44" s="265"/>
      <c r="W44" s="265"/>
      <c r="X44" s="265"/>
      <c r="Y44" s="31" t="b">
        <f t="shared" si="9"/>
        <v>1</v>
      </c>
      <c r="Z44" s="149">
        <f t="shared" si="10"/>
        <v>0.5</v>
      </c>
      <c r="AA44" s="150" t="b">
        <f t="shared" si="11"/>
        <v>1</v>
      </c>
      <c r="AB44" s="150" t="b">
        <f t="shared" si="12"/>
        <v>1</v>
      </c>
    </row>
    <row r="45" spans="1:28" s="20" customFormat="1" ht="36.75" customHeight="1">
      <c r="A45" s="228">
        <v>43</v>
      </c>
      <c r="B45" s="227">
        <v>421</v>
      </c>
      <c r="C45" s="227" t="s">
        <v>106</v>
      </c>
      <c r="D45" s="227" t="s">
        <v>82</v>
      </c>
      <c r="E45" s="250">
        <v>2007022</v>
      </c>
      <c r="F45" s="228" t="s">
        <v>62</v>
      </c>
      <c r="G45" s="234" t="s">
        <v>597</v>
      </c>
      <c r="H45" s="219" t="s">
        <v>49</v>
      </c>
      <c r="I45" s="235">
        <v>0.468</v>
      </c>
      <c r="J45" s="236" t="s">
        <v>540</v>
      </c>
      <c r="K45" s="244">
        <v>1022825.06</v>
      </c>
      <c r="L45" s="205">
        <f t="shared" si="7"/>
        <v>511412.53</v>
      </c>
      <c r="M45" s="174">
        <f t="shared" si="8"/>
        <v>511412.53</v>
      </c>
      <c r="N45" s="192">
        <v>0.5</v>
      </c>
      <c r="O45" s="193">
        <v>0</v>
      </c>
      <c r="P45" s="193">
        <v>0</v>
      </c>
      <c r="Q45" s="206">
        <v>0</v>
      </c>
      <c r="R45" s="178">
        <f>L45</f>
        <v>511412.53</v>
      </c>
      <c r="S45" s="193"/>
      <c r="T45" s="266"/>
      <c r="U45" s="267"/>
      <c r="V45" s="265"/>
      <c r="W45" s="265"/>
      <c r="X45" s="265"/>
      <c r="Y45" s="31" t="b">
        <f t="shared" si="9"/>
        <v>1</v>
      </c>
      <c r="Z45" s="149">
        <f t="shared" si="10"/>
        <v>0.5</v>
      </c>
      <c r="AA45" s="150" t="b">
        <f t="shared" si="11"/>
        <v>1</v>
      </c>
      <c r="AB45" s="150" t="b">
        <f t="shared" si="12"/>
        <v>1</v>
      </c>
    </row>
    <row r="46" spans="1:28" s="20" customFormat="1" ht="36.75" customHeight="1">
      <c r="A46" s="220">
        <v>44</v>
      </c>
      <c r="B46" s="220">
        <v>362</v>
      </c>
      <c r="C46" s="220" t="s">
        <v>65</v>
      </c>
      <c r="D46" s="220" t="s">
        <v>86</v>
      </c>
      <c r="E46" s="248">
        <v>2014032</v>
      </c>
      <c r="F46" s="220" t="s">
        <v>61</v>
      </c>
      <c r="G46" s="221" t="s">
        <v>598</v>
      </c>
      <c r="H46" s="184" t="s">
        <v>49</v>
      </c>
      <c r="I46" s="222">
        <v>3.261</v>
      </c>
      <c r="J46" s="223" t="s">
        <v>454</v>
      </c>
      <c r="K46" s="37">
        <v>4581500</v>
      </c>
      <c r="L46" s="173">
        <f t="shared" si="7"/>
        <v>2290750</v>
      </c>
      <c r="M46" s="37">
        <f t="shared" si="8"/>
        <v>2290750</v>
      </c>
      <c r="N46" s="183">
        <v>0.5</v>
      </c>
      <c r="O46" s="175">
        <v>0</v>
      </c>
      <c r="P46" s="175">
        <v>0</v>
      </c>
      <c r="Q46" s="179">
        <v>0</v>
      </c>
      <c r="R46" s="175">
        <f>80000*N46</f>
        <v>40000</v>
      </c>
      <c r="S46" s="175">
        <f>4501500*N46</f>
        <v>2250750</v>
      </c>
      <c r="T46" s="175"/>
      <c r="U46" s="268"/>
      <c r="V46" s="265"/>
      <c r="W46" s="265"/>
      <c r="X46" s="265"/>
      <c r="Y46" s="31" t="b">
        <f t="shared" si="9"/>
        <v>1</v>
      </c>
      <c r="Z46" s="149">
        <f t="shared" si="10"/>
        <v>0.5</v>
      </c>
      <c r="AA46" s="150" t="b">
        <f t="shared" si="11"/>
        <v>1</v>
      </c>
      <c r="AB46" s="150" t="b">
        <f t="shared" si="12"/>
        <v>1</v>
      </c>
    </row>
    <row r="47" spans="1:28" s="20" customFormat="1" ht="36.75" customHeight="1">
      <c r="A47" s="228">
        <v>45</v>
      </c>
      <c r="B47" s="227">
        <v>136</v>
      </c>
      <c r="C47" s="227" t="s">
        <v>106</v>
      </c>
      <c r="D47" s="227" t="s">
        <v>51</v>
      </c>
      <c r="E47" s="227">
        <v>2002013</v>
      </c>
      <c r="F47" s="227" t="s">
        <v>52</v>
      </c>
      <c r="G47" s="234" t="s">
        <v>599</v>
      </c>
      <c r="H47" s="219" t="s">
        <v>47</v>
      </c>
      <c r="I47" s="235">
        <v>0.387</v>
      </c>
      <c r="J47" s="236" t="s">
        <v>349</v>
      </c>
      <c r="K47" s="244">
        <v>2636148.3</v>
      </c>
      <c r="L47" s="205">
        <f t="shared" si="7"/>
        <v>1318074.15</v>
      </c>
      <c r="M47" s="174">
        <f t="shared" si="8"/>
        <v>1318074.15</v>
      </c>
      <c r="N47" s="192">
        <v>0.5</v>
      </c>
      <c r="O47" s="193">
        <v>0</v>
      </c>
      <c r="P47" s="193">
        <v>0</v>
      </c>
      <c r="Q47" s="206">
        <v>0</v>
      </c>
      <c r="R47" s="178">
        <f>L47</f>
        <v>1318074.15</v>
      </c>
      <c r="S47" s="193"/>
      <c r="T47" s="266"/>
      <c r="U47" s="267"/>
      <c r="V47" s="265"/>
      <c r="W47" s="265"/>
      <c r="X47" s="265"/>
      <c r="Y47" s="31" t="b">
        <f t="shared" si="9"/>
        <v>1</v>
      </c>
      <c r="Z47" s="149">
        <f t="shared" si="10"/>
        <v>0.5</v>
      </c>
      <c r="AA47" s="150" t="b">
        <f t="shared" si="11"/>
        <v>1</v>
      </c>
      <c r="AB47" s="150" t="b">
        <f t="shared" si="12"/>
        <v>1</v>
      </c>
    </row>
    <row r="48" spans="1:28" s="20" customFormat="1" ht="36.75" customHeight="1">
      <c r="A48" s="228">
        <v>46</v>
      </c>
      <c r="B48" s="228">
        <v>35</v>
      </c>
      <c r="C48" s="227" t="s">
        <v>106</v>
      </c>
      <c r="D48" s="228" t="s">
        <v>208</v>
      </c>
      <c r="E48" s="227">
        <v>2003032</v>
      </c>
      <c r="F48" s="227" t="s">
        <v>55</v>
      </c>
      <c r="G48" s="230" t="s">
        <v>600</v>
      </c>
      <c r="H48" s="218" t="s">
        <v>50</v>
      </c>
      <c r="I48" s="231">
        <v>2.142</v>
      </c>
      <c r="J48" s="228" t="s">
        <v>463</v>
      </c>
      <c r="K48" s="174">
        <v>4153087.07</v>
      </c>
      <c r="L48" s="205">
        <f t="shared" si="7"/>
        <v>2076543.53</v>
      </c>
      <c r="M48" s="174">
        <f t="shared" si="8"/>
        <v>2076543.5399999998</v>
      </c>
      <c r="N48" s="192">
        <v>0.5</v>
      </c>
      <c r="O48" s="193">
        <v>0</v>
      </c>
      <c r="P48" s="193">
        <v>0</v>
      </c>
      <c r="Q48" s="206">
        <v>0</v>
      </c>
      <c r="R48" s="178">
        <f>L48</f>
        <v>2076543.53</v>
      </c>
      <c r="S48" s="193"/>
      <c r="T48" s="193"/>
      <c r="U48" s="264"/>
      <c r="V48" s="265"/>
      <c r="W48" s="265"/>
      <c r="X48" s="265"/>
      <c r="Y48" s="31" t="b">
        <f t="shared" si="9"/>
        <v>1</v>
      </c>
      <c r="Z48" s="149">
        <f t="shared" si="10"/>
        <v>0.5</v>
      </c>
      <c r="AA48" s="150" t="b">
        <f t="shared" si="11"/>
        <v>1</v>
      </c>
      <c r="AB48" s="150" t="b">
        <f t="shared" si="12"/>
        <v>1</v>
      </c>
    </row>
    <row r="49" spans="1:28" s="20" customFormat="1" ht="36.75" customHeight="1">
      <c r="A49" s="228">
        <v>47</v>
      </c>
      <c r="B49" s="227">
        <v>64</v>
      </c>
      <c r="C49" s="227" t="s">
        <v>106</v>
      </c>
      <c r="D49" s="227" t="s">
        <v>601</v>
      </c>
      <c r="E49" s="250">
        <v>2003072</v>
      </c>
      <c r="F49" s="227" t="s">
        <v>55</v>
      </c>
      <c r="G49" s="230" t="s">
        <v>602</v>
      </c>
      <c r="H49" s="219" t="s">
        <v>50</v>
      </c>
      <c r="I49" s="235">
        <v>0.796</v>
      </c>
      <c r="J49" s="228" t="s">
        <v>301</v>
      </c>
      <c r="K49" s="174">
        <v>988933</v>
      </c>
      <c r="L49" s="205">
        <f t="shared" si="7"/>
        <v>494466.5</v>
      </c>
      <c r="M49" s="174">
        <f t="shared" si="8"/>
        <v>494466.5</v>
      </c>
      <c r="N49" s="192">
        <v>0.5</v>
      </c>
      <c r="O49" s="193">
        <v>0</v>
      </c>
      <c r="P49" s="193">
        <v>0</v>
      </c>
      <c r="Q49" s="206">
        <v>0</v>
      </c>
      <c r="R49" s="193">
        <f>L49</f>
        <v>494466.5</v>
      </c>
      <c r="S49" s="193"/>
      <c r="T49" s="266"/>
      <c r="U49" s="267"/>
      <c r="V49" s="265"/>
      <c r="W49" s="265"/>
      <c r="X49" s="265"/>
      <c r="Y49" s="31" t="b">
        <f t="shared" si="9"/>
        <v>1</v>
      </c>
      <c r="Z49" s="149">
        <f t="shared" si="10"/>
        <v>0.5</v>
      </c>
      <c r="AA49" s="150" t="b">
        <f t="shared" si="11"/>
        <v>1</v>
      </c>
      <c r="AB49" s="150" t="b">
        <f t="shared" si="12"/>
        <v>1</v>
      </c>
    </row>
    <row r="50" spans="1:28" s="20" customFormat="1" ht="38.25">
      <c r="A50" s="220">
        <v>48</v>
      </c>
      <c r="B50" s="220">
        <v>87</v>
      </c>
      <c r="C50" s="220" t="s">
        <v>65</v>
      </c>
      <c r="D50" s="220" t="s">
        <v>142</v>
      </c>
      <c r="E50" s="248">
        <v>2013011</v>
      </c>
      <c r="F50" s="220" t="s">
        <v>58</v>
      </c>
      <c r="G50" s="221" t="s">
        <v>603</v>
      </c>
      <c r="H50" s="184" t="s">
        <v>49</v>
      </c>
      <c r="I50" s="222">
        <v>0.359</v>
      </c>
      <c r="J50" s="220" t="s">
        <v>471</v>
      </c>
      <c r="K50" s="37">
        <v>2321350</v>
      </c>
      <c r="L50" s="173">
        <f t="shared" si="7"/>
        <v>1160675</v>
      </c>
      <c r="M50" s="37">
        <f t="shared" si="8"/>
        <v>1160675</v>
      </c>
      <c r="N50" s="183">
        <v>0.5</v>
      </c>
      <c r="O50" s="175">
        <v>0</v>
      </c>
      <c r="P50" s="175">
        <v>0</v>
      </c>
      <c r="Q50" s="179">
        <v>0</v>
      </c>
      <c r="R50" s="175">
        <f>1200000*N50</f>
        <v>600000</v>
      </c>
      <c r="S50" s="175">
        <f>1121350*N50</f>
        <v>560675</v>
      </c>
      <c r="T50" s="175"/>
      <c r="U50" s="268"/>
      <c r="V50" s="265"/>
      <c r="W50" s="265"/>
      <c r="X50" s="265"/>
      <c r="Y50" s="31" t="b">
        <f t="shared" si="9"/>
        <v>1</v>
      </c>
      <c r="Z50" s="149">
        <f t="shared" si="10"/>
        <v>0.5</v>
      </c>
      <c r="AA50" s="150" t="b">
        <f t="shared" si="11"/>
        <v>1</v>
      </c>
      <c r="AB50" s="150" t="b">
        <f t="shared" si="12"/>
        <v>1</v>
      </c>
    </row>
    <row r="51" spans="1:28" s="20" customFormat="1" ht="36.75" customHeight="1">
      <c r="A51" s="228">
        <v>49</v>
      </c>
      <c r="B51" s="228">
        <v>66</v>
      </c>
      <c r="C51" s="227" t="s">
        <v>106</v>
      </c>
      <c r="D51" s="227" t="s">
        <v>437</v>
      </c>
      <c r="E51" s="250">
        <v>2013072</v>
      </c>
      <c r="F51" s="227" t="s">
        <v>58</v>
      </c>
      <c r="G51" s="230" t="s">
        <v>604</v>
      </c>
      <c r="H51" s="219" t="s">
        <v>47</v>
      </c>
      <c r="I51" s="235">
        <v>1.306</v>
      </c>
      <c r="J51" s="228" t="s">
        <v>439</v>
      </c>
      <c r="K51" s="244">
        <v>2301000</v>
      </c>
      <c r="L51" s="205">
        <f t="shared" si="7"/>
        <v>1150500</v>
      </c>
      <c r="M51" s="174">
        <f t="shared" si="8"/>
        <v>1150500</v>
      </c>
      <c r="N51" s="192">
        <v>0.5</v>
      </c>
      <c r="O51" s="193">
        <v>0</v>
      </c>
      <c r="P51" s="193">
        <v>0</v>
      </c>
      <c r="Q51" s="206">
        <v>0</v>
      </c>
      <c r="R51" s="178">
        <f>L51</f>
        <v>1150500</v>
      </c>
      <c r="S51" s="193"/>
      <c r="T51" s="266"/>
      <c r="U51" s="267"/>
      <c r="V51" s="265"/>
      <c r="W51" s="265"/>
      <c r="X51" s="265"/>
      <c r="Y51" s="31" t="b">
        <f t="shared" si="9"/>
        <v>1</v>
      </c>
      <c r="Z51" s="149">
        <f t="shared" si="10"/>
        <v>0.5</v>
      </c>
      <c r="AA51" s="150" t="b">
        <f t="shared" si="11"/>
        <v>1</v>
      </c>
      <c r="AB51" s="150" t="b">
        <f t="shared" si="12"/>
        <v>1</v>
      </c>
    </row>
    <row r="52" spans="1:28" s="20" customFormat="1" ht="36.75" customHeight="1">
      <c r="A52" s="220">
        <v>50</v>
      </c>
      <c r="B52" s="220">
        <v>84</v>
      </c>
      <c r="C52" s="220" t="s">
        <v>65</v>
      </c>
      <c r="D52" s="220" t="s">
        <v>142</v>
      </c>
      <c r="E52" s="248">
        <v>2013011</v>
      </c>
      <c r="F52" s="220" t="s">
        <v>58</v>
      </c>
      <c r="G52" s="221" t="s">
        <v>605</v>
      </c>
      <c r="H52" s="184" t="s">
        <v>49</v>
      </c>
      <c r="I52" s="222">
        <v>0.782</v>
      </c>
      <c r="J52" s="220" t="s">
        <v>471</v>
      </c>
      <c r="K52" s="37">
        <v>4447500</v>
      </c>
      <c r="L52" s="173">
        <f t="shared" si="7"/>
        <v>2223750</v>
      </c>
      <c r="M52" s="37">
        <f t="shared" si="8"/>
        <v>2223750</v>
      </c>
      <c r="N52" s="183">
        <v>0.5</v>
      </c>
      <c r="O52" s="175">
        <v>0</v>
      </c>
      <c r="P52" s="175">
        <v>0</v>
      </c>
      <c r="Q52" s="179">
        <v>0</v>
      </c>
      <c r="R52" s="175">
        <f>2000000*N52</f>
        <v>1000000</v>
      </c>
      <c r="S52" s="175">
        <f>2447500*N52</f>
        <v>1223750</v>
      </c>
      <c r="T52" s="175"/>
      <c r="U52" s="268"/>
      <c r="V52" s="265"/>
      <c r="W52" s="265"/>
      <c r="X52" s="265"/>
      <c r="Y52" s="31" t="b">
        <f t="shared" si="9"/>
        <v>1</v>
      </c>
      <c r="Z52" s="149">
        <f t="shared" si="10"/>
        <v>0.5</v>
      </c>
      <c r="AA52" s="150" t="b">
        <f t="shared" si="11"/>
        <v>1</v>
      </c>
      <c r="AB52" s="150" t="b">
        <f t="shared" si="12"/>
        <v>1</v>
      </c>
    </row>
    <row r="53" spans="1:28" s="20" customFormat="1" ht="36.75" customHeight="1">
      <c r="A53" s="220">
        <v>51</v>
      </c>
      <c r="B53" s="220">
        <v>127</v>
      </c>
      <c r="C53" s="220" t="s">
        <v>65</v>
      </c>
      <c r="D53" s="220" t="s">
        <v>51</v>
      </c>
      <c r="E53" s="220">
        <v>2002013</v>
      </c>
      <c r="F53" s="220" t="s">
        <v>52</v>
      </c>
      <c r="G53" s="221" t="s">
        <v>606</v>
      </c>
      <c r="H53" s="184" t="s">
        <v>49</v>
      </c>
      <c r="I53" s="222">
        <v>1.237</v>
      </c>
      <c r="J53" s="223" t="s">
        <v>452</v>
      </c>
      <c r="K53" s="37">
        <v>3188285.4</v>
      </c>
      <c r="L53" s="173">
        <f t="shared" si="7"/>
        <v>1594142.7</v>
      </c>
      <c r="M53" s="37">
        <f t="shared" si="8"/>
        <v>1594142.7</v>
      </c>
      <c r="N53" s="183">
        <v>0.5</v>
      </c>
      <c r="O53" s="175">
        <v>0</v>
      </c>
      <c r="P53" s="175">
        <v>0</v>
      </c>
      <c r="Q53" s="179">
        <v>0</v>
      </c>
      <c r="R53" s="175">
        <f>862052*N53</f>
        <v>431026</v>
      </c>
      <c r="S53" s="175">
        <f>2326233.4*N53</f>
        <v>1163116.7</v>
      </c>
      <c r="T53" s="175"/>
      <c r="U53" s="268"/>
      <c r="V53" s="265"/>
      <c r="W53" s="265"/>
      <c r="X53" s="265"/>
      <c r="Y53" s="31" t="b">
        <f t="shared" si="9"/>
        <v>1</v>
      </c>
      <c r="Z53" s="149">
        <f t="shared" si="10"/>
        <v>0.5</v>
      </c>
      <c r="AA53" s="150" t="b">
        <f t="shared" si="11"/>
        <v>1</v>
      </c>
      <c r="AB53" s="150" t="b">
        <f t="shared" si="12"/>
        <v>1</v>
      </c>
    </row>
    <row r="54" spans="1:28" s="20" customFormat="1" ht="36.75" customHeight="1">
      <c r="A54" s="228">
        <v>52</v>
      </c>
      <c r="B54" s="227">
        <v>226</v>
      </c>
      <c r="C54" s="227" t="s">
        <v>106</v>
      </c>
      <c r="D54" s="227" t="s">
        <v>196</v>
      </c>
      <c r="E54" s="250">
        <v>2001011</v>
      </c>
      <c r="F54" s="227" t="s">
        <v>157</v>
      </c>
      <c r="G54" s="234" t="s">
        <v>607</v>
      </c>
      <c r="H54" s="219" t="s">
        <v>50</v>
      </c>
      <c r="I54" s="235">
        <v>0.735</v>
      </c>
      <c r="J54" s="236" t="s">
        <v>301</v>
      </c>
      <c r="K54" s="174">
        <v>6900000</v>
      </c>
      <c r="L54" s="205">
        <f t="shared" si="7"/>
        <v>3450000</v>
      </c>
      <c r="M54" s="174">
        <f t="shared" si="8"/>
        <v>3450000</v>
      </c>
      <c r="N54" s="192">
        <v>0.5</v>
      </c>
      <c r="O54" s="193">
        <v>0</v>
      </c>
      <c r="P54" s="193">
        <v>0</v>
      </c>
      <c r="Q54" s="206">
        <v>0</v>
      </c>
      <c r="R54" s="178">
        <f>L54</f>
        <v>3450000</v>
      </c>
      <c r="S54" s="266"/>
      <c r="T54" s="266"/>
      <c r="U54" s="267"/>
      <c r="V54" s="265"/>
      <c r="W54" s="265"/>
      <c r="X54" s="265"/>
      <c r="Y54" s="31" t="b">
        <f t="shared" si="9"/>
        <v>1</v>
      </c>
      <c r="Z54" s="149">
        <f t="shared" si="10"/>
        <v>0.5</v>
      </c>
      <c r="AA54" s="150" t="b">
        <f t="shared" si="11"/>
        <v>1</v>
      </c>
      <c r="AB54" s="150" t="b">
        <f t="shared" si="12"/>
        <v>1</v>
      </c>
    </row>
    <row r="55" spans="1:28" s="20" customFormat="1" ht="36.75" customHeight="1">
      <c r="A55" s="228">
        <v>53</v>
      </c>
      <c r="B55" s="227">
        <v>422</v>
      </c>
      <c r="C55" s="227" t="s">
        <v>106</v>
      </c>
      <c r="D55" s="227" t="s">
        <v>82</v>
      </c>
      <c r="E55" s="250">
        <v>2007022</v>
      </c>
      <c r="F55" s="228" t="s">
        <v>62</v>
      </c>
      <c r="G55" s="234" t="s">
        <v>608</v>
      </c>
      <c r="H55" s="219" t="s">
        <v>49</v>
      </c>
      <c r="I55" s="235">
        <v>1.492</v>
      </c>
      <c r="J55" s="236" t="s">
        <v>280</v>
      </c>
      <c r="K55" s="174">
        <v>2118108.03</v>
      </c>
      <c r="L55" s="205">
        <f t="shared" si="7"/>
        <v>1059054.01</v>
      </c>
      <c r="M55" s="174">
        <f t="shared" si="8"/>
        <v>1059054.0199999998</v>
      </c>
      <c r="N55" s="192">
        <v>0.5</v>
      </c>
      <c r="O55" s="193">
        <v>0</v>
      </c>
      <c r="P55" s="193">
        <v>0</v>
      </c>
      <c r="Q55" s="206">
        <v>0</v>
      </c>
      <c r="R55" s="178">
        <f>L55</f>
        <v>1059054.01</v>
      </c>
      <c r="S55" s="266"/>
      <c r="T55" s="266"/>
      <c r="U55" s="267"/>
      <c r="V55" s="265"/>
      <c r="W55" s="265"/>
      <c r="X55" s="265"/>
      <c r="Y55" s="31" t="b">
        <f t="shared" si="9"/>
        <v>1</v>
      </c>
      <c r="Z55" s="149">
        <f t="shared" si="10"/>
        <v>0.5</v>
      </c>
      <c r="AA55" s="150" t="b">
        <f t="shared" si="11"/>
        <v>1</v>
      </c>
      <c r="AB55" s="150" t="b">
        <f t="shared" si="12"/>
        <v>1</v>
      </c>
    </row>
    <row r="56" spans="1:28" s="20" customFormat="1" ht="36" customHeight="1">
      <c r="A56" s="228">
        <v>54</v>
      </c>
      <c r="B56" s="228">
        <v>138</v>
      </c>
      <c r="C56" s="227" t="s">
        <v>106</v>
      </c>
      <c r="D56" s="227" t="s">
        <v>51</v>
      </c>
      <c r="E56" s="227">
        <v>2002013</v>
      </c>
      <c r="F56" s="227" t="s">
        <v>52</v>
      </c>
      <c r="G56" s="234" t="s">
        <v>609</v>
      </c>
      <c r="H56" s="219" t="s">
        <v>50</v>
      </c>
      <c r="I56" s="235">
        <v>0.271</v>
      </c>
      <c r="J56" s="236" t="s">
        <v>488</v>
      </c>
      <c r="K56" s="174">
        <v>1915419.79</v>
      </c>
      <c r="L56" s="205">
        <f t="shared" si="7"/>
        <v>957709.89</v>
      </c>
      <c r="M56" s="174">
        <f t="shared" si="8"/>
        <v>957709.9</v>
      </c>
      <c r="N56" s="192">
        <v>0.5</v>
      </c>
      <c r="O56" s="193">
        <v>0</v>
      </c>
      <c r="P56" s="193">
        <v>0</v>
      </c>
      <c r="Q56" s="206">
        <v>0</v>
      </c>
      <c r="R56" s="178">
        <f>L56</f>
        <v>957709.89</v>
      </c>
      <c r="S56" s="266"/>
      <c r="T56" s="266"/>
      <c r="U56" s="267"/>
      <c r="V56" s="265"/>
      <c r="W56" s="265"/>
      <c r="X56" s="265"/>
      <c r="Y56" s="31" t="b">
        <f t="shared" si="9"/>
        <v>1</v>
      </c>
      <c r="Z56" s="149">
        <f t="shared" si="10"/>
        <v>0.5</v>
      </c>
      <c r="AA56" s="150" t="b">
        <f t="shared" si="11"/>
        <v>1</v>
      </c>
      <c r="AB56" s="150" t="b">
        <f t="shared" si="12"/>
        <v>1</v>
      </c>
    </row>
    <row r="57" spans="1:28" s="4" customFormat="1" ht="36.75" customHeight="1">
      <c r="A57" s="228">
        <v>55</v>
      </c>
      <c r="B57" s="228">
        <v>13</v>
      </c>
      <c r="C57" s="227" t="s">
        <v>106</v>
      </c>
      <c r="D57" s="228" t="s">
        <v>162</v>
      </c>
      <c r="E57" s="250">
        <v>2002032</v>
      </c>
      <c r="F57" s="227" t="s">
        <v>52</v>
      </c>
      <c r="G57" s="230" t="s">
        <v>610</v>
      </c>
      <c r="H57" s="228" t="s">
        <v>50</v>
      </c>
      <c r="I57" s="231">
        <v>0.23</v>
      </c>
      <c r="J57" s="228" t="s">
        <v>423</v>
      </c>
      <c r="K57" s="174">
        <v>733500</v>
      </c>
      <c r="L57" s="205">
        <f t="shared" si="7"/>
        <v>366750</v>
      </c>
      <c r="M57" s="174">
        <f t="shared" si="8"/>
        <v>366750</v>
      </c>
      <c r="N57" s="192">
        <v>0.5</v>
      </c>
      <c r="O57" s="193">
        <v>0</v>
      </c>
      <c r="P57" s="193">
        <v>0</v>
      </c>
      <c r="Q57" s="206">
        <v>0</v>
      </c>
      <c r="R57" s="178">
        <f>L57</f>
        <v>366750</v>
      </c>
      <c r="S57" s="193"/>
      <c r="T57" s="193"/>
      <c r="U57" s="264"/>
      <c r="V57" s="265"/>
      <c r="W57" s="265"/>
      <c r="X57" s="265"/>
      <c r="Y57" s="31" t="b">
        <f t="shared" si="9"/>
        <v>1</v>
      </c>
      <c r="Z57" s="149">
        <f t="shared" si="10"/>
        <v>0.5</v>
      </c>
      <c r="AA57" s="150" t="b">
        <f t="shared" si="11"/>
        <v>1</v>
      </c>
      <c r="AB57" s="150" t="b">
        <f t="shared" si="12"/>
        <v>1</v>
      </c>
    </row>
    <row r="58" spans="1:28" s="4" customFormat="1" ht="36.75" customHeight="1">
      <c r="A58" s="228">
        <v>56</v>
      </c>
      <c r="B58" s="228">
        <v>282</v>
      </c>
      <c r="C58" s="227" t="s">
        <v>106</v>
      </c>
      <c r="D58" s="227" t="s">
        <v>207</v>
      </c>
      <c r="E58" s="250">
        <v>2007043</v>
      </c>
      <c r="F58" s="228" t="s">
        <v>62</v>
      </c>
      <c r="G58" s="234" t="s">
        <v>235</v>
      </c>
      <c r="H58" s="219" t="s">
        <v>50</v>
      </c>
      <c r="I58" s="235">
        <v>0.15</v>
      </c>
      <c r="J58" s="236" t="s">
        <v>411</v>
      </c>
      <c r="K58" s="174">
        <v>775190.9</v>
      </c>
      <c r="L58" s="205">
        <f t="shared" si="7"/>
        <v>387595.45</v>
      </c>
      <c r="M58" s="174">
        <f t="shared" si="8"/>
        <v>387595.45</v>
      </c>
      <c r="N58" s="192">
        <v>0.5</v>
      </c>
      <c r="O58" s="193">
        <v>0</v>
      </c>
      <c r="P58" s="193">
        <v>0</v>
      </c>
      <c r="Q58" s="206">
        <v>0</v>
      </c>
      <c r="R58" s="178">
        <f>L58</f>
        <v>387595.45</v>
      </c>
      <c r="S58" s="266"/>
      <c r="T58" s="266"/>
      <c r="U58" s="267"/>
      <c r="V58" s="265"/>
      <c r="W58" s="265"/>
      <c r="X58" s="265"/>
      <c r="Y58" s="31" t="b">
        <f t="shared" si="9"/>
        <v>1</v>
      </c>
      <c r="Z58" s="149">
        <f t="shared" si="10"/>
        <v>0.5</v>
      </c>
      <c r="AA58" s="150" t="b">
        <f t="shared" si="11"/>
        <v>1</v>
      </c>
      <c r="AB58" s="150" t="b">
        <f t="shared" si="12"/>
        <v>1</v>
      </c>
    </row>
    <row r="59" spans="1:28" s="4" customFormat="1" ht="36.75" customHeight="1">
      <c r="A59" s="220">
        <v>57</v>
      </c>
      <c r="B59" s="220">
        <v>290</v>
      </c>
      <c r="C59" s="220" t="s">
        <v>65</v>
      </c>
      <c r="D59" s="220" t="s">
        <v>408</v>
      </c>
      <c r="E59" s="248">
        <v>2002063</v>
      </c>
      <c r="F59" s="227" t="s">
        <v>52</v>
      </c>
      <c r="G59" s="221" t="s">
        <v>612</v>
      </c>
      <c r="H59" s="184" t="s">
        <v>50</v>
      </c>
      <c r="I59" s="222">
        <v>0.32</v>
      </c>
      <c r="J59" s="223" t="s">
        <v>613</v>
      </c>
      <c r="K59" s="37">
        <v>1947700.08</v>
      </c>
      <c r="L59" s="173">
        <f t="shared" si="7"/>
        <v>1168620.04</v>
      </c>
      <c r="M59" s="37">
        <f t="shared" si="8"/>
        <v>779080.04</v>
      </c>
      <c r="N59" s="183">
        <v>0.6</v>
      </c>
      <c r="O59" s="175">
        <v>0</v>
      </c>
      <c r="P59" s="175">
        <v>0</v>
      </c>
      <c r="Q59" s="179">
        <v>0</v>
      </c>
      <c r="R59" s="175">
        <f>ROUNDDOWN(972700.08*N59,2)</f>
        <v>583620.04</v>
      </c>
      <c r="S59" s="175">
        <f>975000*N59</f>
        <v>585000</v>
      </c>
      <c r="T59" s="175"/>
      <c r="U59" s="268"/>
      <c r="V59" s="265"/>
      <c r="W59" s="265"/>
      <c r="X59" s="265"/>
      <c r="Y59" s="31" t="b">
        <f t="shared" si="9"/>
        <v>1</v>
      </c>
      <c r="Z59" s="149">
        <f t="shared" si="10"/>
        <v>0.6</v>
      </c>
      <c r="AA59" s="150" t="b">
        <f t="shared" si="11"/>
        <v>1</v>
      </c>
      <c r="AB59" s="150" t="b">
        <f t="shared" si="12"/>
        <v>1</v>
      </c>
    </row>
    <row r="60" spans="1:28" s="4" customFormat="1" ht="36.75" customHeight="1">
      <c r="A60" s="220">
        <v>58</v>
      </c>
      <c r="B60" s="220">
        <v>133</v>
      </c>
      <c r="C60" s="220" t="s">
        <v>65</v>
      </c>
      <c r="D60" s="220" t="s">
        <v>51</v>
      </c>
      <c r="E60" s="220">
        <v>2002013</v>
      </c>
      <c r="F60" s="220" t="s">
        <v>52</v>
      </c>
      <c r="G60" s="221" t="s">
        <v>614</v>
      </c>
      <c r="H60" s="184" t="s">
        <v>49</v>
      </c>
      <c r="I60" s="222">
        <v>0.71</v>
      </c>
      <c r="J60" s="223" t="s">
        <v>447</v>
      </c>
      <c r="K60" s="37">
        <v>4819312.2</v>
      </c>
      <c r="L60" s="173">
        <f t="shared" si="7"/>
        <v>2409656.1</v>
      </c>
      <c r="M60" s="37">
        <f t="shared" si="8"/>
        <v>2409656.1</v>
      </c>
      <c r="N60" s="183">
        <v>0.5</v>
      </c>
      <c r="O60" s="175">
        <v>0</v>
      </c>
      <c r="P60" s="175">
        <v>0</v>
      </c>
      <c r="Q60" s="179">
        <v>0</v>
      </c>
      <c r="R60" s="175">
        <f>112632.2*N60</f>
        <v>56316.1</v>
      </c>
      <c r="S60" s="175">
        <f>4706680*N60</f>
        <v>2353340</v>
      </c>
      <c r="T60" s="175"/>
      <c r="U60" s="268"/>
      <c r="V60" s="265"/>
      <c r="W60" s="265"/>
      <c r="X60" s="265"/>
      <c r="Y60" s="31" t="b">
        <f t="shared" si="9"/>
        <v>1</v>
      </c>
      <c r="Z60" s="149">
        <f t="shared" si="10"/>
        <v>0.5</v>
      </c>
      <c r="AA60" s="150" t="b">
        <f t="shared" si="11"/>
        <v>1</v>
      </c>
      <c r="AB60" s="150" t="b">
        <f t="shared" si="12"/>
        <v>1</v>
      </c>
    </row>
    <row r="61" spans="1:28" s="4" customFormat="1" ht="36.75" customHeight="1">
      <c r="A61" s="228">
        <v>59</v>
      </c>
      <c r="B61" s="228">
        <v>306</v>
      </c>
      <c r="C61" s="227" t="s">
        <v>106</v>
      </c>
      <c r="D61" s="227" t="s">
        <v>615</v>
      </c>
      <c r="E61" s="250">
        <v>2003021</v>
      </c>
      <c r="F61" s="227" t="s">
        <v>55</v>
      </c>
      <c r="G61" s="234" t="s">
        <v>616</v>
      </c>
      <c r="H61" s="219" t="s">
        <v>50</v>
      </c>
      <c r="I61" s="235">
        <v>0.865</v>
      </c>
      <c r="J61" s="236" t="s">
        <v>411</v>
      </c>
      <c r="K61" s="244">
        <v>1815000</v>
      </c>
      <c r="L61" s="205">
        <f t="shared" si="7"/>
        <v>907500</v>
      </c>
      <c r="M61" s="174">
        <f t="shared" si="8"/>
        <v>907500</v>
      </c>
      <c r="N61" s="192">
        <v>0.5</v>
      </c>
      <c r="O61" s="193">
        <v>0</v>
      </c>
      <c r="P61" s="193">
        <v>0</v>
      </c>
      <c r="Q61" s="206">
        <v>0</v>
      </c>
      <c r="R61" s="193">
        <f>L61</f>
        <v>907500</v>
      </c>
      <c r="S61" s="266"/>
      <c r="T61" s="266"/>
      <c r="U61" s="267"/>
      <c r="V61" s="265"/>
      <c r="W61" s="265"/>
      <c r="X61" s="265"/>
      <c r="Y61" s="31" t="b">
        <f t="shared" si="9"/>
        <v>1</v>
      </c>
      <c r="Z61" s="149">
        <f t="shared" si="10"/>
        <v>0.5</v>
      </c>
      <c r="AA61" s="150" t="b">
        <f t="shared" si="11"/>
        <v>1</v>
      </c>
      <c r="AB61" s="150" t="b">
        <f t="shared" si="12"/>
        <v>1</v>
      </c>
    </row>
    <row r="62" spans="1:28" s="4" customFormat="1" ht="36.75" customHeight="1">
      <c r="A62" s="228">
        <v>60</v>
      </c>
      <c r="B62" s="228">
        <v>32</v>
      </c>
      <c r="C62" s="227" t="s">
        <v>106</v>
      </c>
      <c r="D62" s="228" t="s">
        <v>210</v>
      </c>
      <c r="E62" s="250">
        <v>2008063</v>
      </c>
      <c r="F62" s="228" t="s">
        <v>59</v>
      </c>
      <c r="G62" s="230" t="s">
        <v>617</v>
      </c>
      <c r="H62" s="218" t="s">
        <v>50</v>
      </c>
      <c r="I62" s="231">
        <v>0.847</v>
      </c>
      <c r="J62" s="228" t="s">
        <v>463</v>
      </c>
      <c r="K62" s="174">
        <v>1409860.24</v>
      </c>
      <c r="L62" s="205">
        <f t="shared" si="7"/>
        <v>845916.14</v>
      </c>
      <c r="M62" s="174">
        <f t="shared" si="8"/>
        <v>563944.1</v>
      </c>
      <c r="N62" s="192">
        <v>0.6</v>
      </c>
      <c r="O62" s="193">
        <v>0</v>
      </c>
      <c r="P62" s="193">
        <v>0</v>
      </c>
      <c r="Q62" s="206">
        <v>0</v>
      </c>
      <c r="R62" s="178">
        <f>L62</f>
        <v>845916.14</v>
      </c>
      <c r="S62" s="193"/>
      <c r="T62" s="193"/>
      <c r="U62" s="264"/>
      <c r="V62" s="265"/>
      <c r="W62" s="265"/>
      <c r="X62" s="265"/>
      <c r="Y62" s="31" t="b">
        <f t="shared" si="9"/>
        <v>1</v>
      </c>
      <c r="Z62" s="149">
        <f t="shared" si="10"/>
        <v>0.6</v>
      </c>
      <c r="AA62" s="150" t="b">
        <f t="shared" si="11"/>
        <v>1</v>
      </c>
      <c r="AB62" s="150" t="b">
        <f t="shared" si="12"/>
        <v>1</v>
      </c>
    </row>
    <row r="63" spans="1:28" s="4" customFormat="1" ht="36.75" customHeight="1">
      <c r="A63" s="228">
        <v>61</v>
      </c>
      <c r="B63" s="228">
        <v>359</v>
      </c>
      <c r="C63" s="227" t="s">
        <v>106</v>
      </c>
      <c r="D63" s="227" t="s">
        <v>618</v>
      </c>
      <c r="E63" s="227">
        <v>2005042</v>
      </c>
      <c r="F63" s="227" t="s">
        <v>92</v>
      </c>
      <c r="G63" s="234" t="s">
        <v>619</v>
      </c>
      <c r="H63" s="219" t="s">
        <v>50</v>
      </c>
      <c r="I63" s="235">
        <v>0.735</v>
      </c>
      <c r="J63" s="236" t="s">
        <v>620</v>
      </c>
      <c r="K63" s="244">
        <v>799238.55</v>
      </c>
      <c r="L63" s="205">
        <f t="shared" si="7"/>
        <v>399619.27</v>
      </c>
      <c r="M63" s="174">
        <f t="shared" si="8"/>
        <v>399619.28</v>
      </c>
      <c r="N63" s="192">
        <v>0.5</v>
      </c>
      <c r="O63" s="193">
        <v>0</v>
      </c>
      <c r="P63" s="193">
        <v>0</v>
      </c>
      <c r="Q63" s="206">
        <v>0</v>
      </c>
      <c r="R63" s="193">
        <f>L63</f>
        <v>399619.27</v>
      </c>
      <c r="S63" s="266"/>
      <c r="T63" s="266"/>
      <c r="U63" s="267"/>
      <c r="V63" s="265"/>
      <c r="W63" s="265"/>
      <c r="X63" s="265"/>
      <c r="Y63" s="31" t="b">
        <f t="shared" si="9"/>
        <v>1</v>
      </c>
      <c r="Z63" s="149">
        <f t="shared" si="10"/>
        <v>0.5</v>
      </c>
      <c r="AA63" s="150" t="b">
        <f t="shared" si="11"/>
        <v>1</v>
      </c>
      <c r="AB63" s="150" t="b">
        <f t="shared" si="12"/>
        <v>1</v>
      </c>
    </row>
    <row r="64" spans="1:28" s="4" customFormat="1" ht="36.75" customHeight="1">
      <c r="A64" s="228">
        <v>62</v>
      </c>
      <c r="B64" s="228">
        <v>34</v>
      </c>
      <c r="C64" s="227" t="s">
        <v>106</v>
      </c>
      <c r="D64" s="228" t="s">
        <v>208</v>
      </c>
      <c r="E64" s="227">
        <v>2003032</v>
      </c>
      <c r="F64" s="227" t="s">
        <v>55</v>
      </c>
      <c r="G64" s="230" t="s">
        <v>621</v>
      </c>
      <c r="H64" s="218" t="s">
        <v>49</v>
      </c>
      <c r="I64" s="231">
        <v>2.033</v>
      </c>
      <c r="J64" s="228" t="s">
        <v>463</v>
      </c>
      <c r="K64" s="174">
        <v>2661668.13</v>
      </c>
      <c r="L64" s="205">
        <f aca="true" t="shared" si="13" ref="L64:L74">ROUNDDOWN(K64*N64,2)</f>
        <v>1330834.06</v>
      </c>
      <c r="M64" s="174">
        <f aca="true" t="shared" si="14" ref="M64:M74">K64-L64</f>
        <v>1330834.0699999998</v>
      </c>
      <c r="N64" s="192">
        <v>0.5</v>
      </c>
      <c r="O64" s="193">
        <v>0</v>
      </c>
      <c r="P64" s="193">
        <v>0</v>
      </c>
      <c r="Q64" s="206">
        <v>0</v>
      </c>
      <c r="R64" s="178">
        <f>L64</f>
        <v>1330834.06</v>
      </c>
      <c r="S64" s="193"/>
      <c r="T64" s="193"/>
      <c r="U64" s="264"/>
      <c r="V64" s="265"/>
      <c r="W64" s="265"/>
      <c r="X64" s="265"/>
      <c r="Y64" s="31" t="b">
        <f aca="true" t="shared" si="15" ref="Y64:Y88">L64=SUM(O64:X64)</f>
        <v>1</v>
      </c>
      <c r="Z64" s="149">
        <f aca="true" t="shared" si="16" ref="Z64:Z88">ROUND(L64/K64,4)</f>
        <v>0.5</v>
      </c>
      <c r="AA64" s="150" t="b">
        <f aca="true" t="shared" si="17" ref="AA64:AA88">Z64=N64</f>
        <v>1</v>
      </c>
      <c r="AB64" s="150" t="b">
        <f aca="true" t="shared" si="18" ref="AB64:AB88">K64=L64+M64</f>
        <v>1</v>
      </c>
    </row>
    <row r="65" spans="1:28" s="4" customFormat="1" ht="36.75" customHeight="1">
      <c r="A65" s="220">
        <v>63</v>
      </c>
      <c r="B65" s="220">
        <v>47</v>
      </c>
      <c r="C65" s="220" t="s">
        <v>65</v>
      </c>
      <c r="D65" s="220" t="s">
        <v>622</v>
      </c>
      <c r="E65" s="248">
        <v>2002082</v>
      </c>
      <c r="F65" s="220" t="s">
        <v>52</v>
      </c>
      <c r="G65" s="221" t="s">
        <v>623</v>
      </c>
      <c r="H65" s="184" t="s">
        <v>50</v>
      </c>
      <c r="I65" s="222">
        <v>1.91</v>
      </c>
      <c r="J65" s="220" t="s">
        <v>624</v>
      </c>
      <c r="K65" s="37">
        <v>1677430</v>
      </c>
      <c r="L65" s="173">
        <f t="shared" si="13"/>
        <v>838715</v>
      </c>
      <c r="M65" s="37">
        <f t="shared" si="14"/>
        <v>838715</v>
      </c>
      <c r="N65" s="183">
        <v>0.5</v>
      </c>
      <c r="O65" s="175">
        <v>0</v>
      </c>
      <c r="P65" s="175">
        <v>0</v>
      </c>
      <c r="Q65" s="179">
        <v>0</v>
      </c>
      <c r="R65" s="175">
        <f>25830*N65</f>
        <v>12915</v>
      </c>
      <c r="S65" s="175">
        <f>1651600*N65</f>
        <v>825800</v>
      </c>
      <c r="T65" s="175"/>
      <c r="U65" s="268"/>
      <c r="V65" s="265"/>
      <c r="W65" s="265"/>
      <c r="X65" s="265"/>
      <c r="Y65" s="31" t="b">
        <f t="shared" si="15"/>
        <v>1</v>
      </c>
      <c r="Z65" s="149">
        <f t="shared" si="16"/>
        <v>0.5</v>
      </c>
      <c r="AA65" s="150" t="b">
        <f t="shared" si="17"/>
        <v>1</v>
      </c>
      <c r="AB65" s="150" t="b">
        <f t="shared" si="18"/>
        <v>1</v>
      </c>
    </row>
    <row r="66" spans="1:28" s="4" customFormat="1" ht="36.75" customHeight="1">
      <c r="A66" s="220">
        <v>64</v>
      </c>
      <c r="B66" s="220">
        <v>296</v>
      </c>
      <c r="C66" s="220" t="s">
        <v>65</v>
      </c>
      <c r="D66" s="220" t="s">
        <v>408</v>
      </c>
      <c r="E66" s="248">
        <v>2002063</v>
      </c>
      <c r="F66" s="220" t="s">
        <v>52</v>
      </c>
      <c r="G66" s="221" t="s">
        <v>625</v>
      </c>
      <c r="H66" s="184" t="s">
        <v>50</v>
      </c>
      <c r="I66" s="222">
        <v>0.409</v>
      </c>
      <c r="J66" s="223" t="s">
        <v>425</v>
      </c>
      <c r="K66" s="37">
        <v>2256000</v>
      </c>
      <c r="L66" s="173">
        <f t="shared" si="13"/>
        <v>1353600</v>
      </c>
      <c r="M66" s="37">
        <f t="shared" si="14"/>
        <v>902400</v>
      </c>
      <c r="N66" s="183">
        <v>0.6</v>
      </c>
      <c r="O66" s="175">
        <v>0</v>
      </c>
      <c r="P66" s="175">
        <v>0</v>
      </c>
      <c r="Q66" s="179">
        <v>0</v>
      </c>
      <c r="R66" s="175">
        <f>587000*N66</f>
        <v>352200</v>
      </c>
      <c r="S66" s="175">
        <f>585000*N66</f>
        <v>351000</v>
      </c>
      <c r="T66" s="175">
        <f>1084000*N66</f>
        <v>650400</v>
      </c>
      <c r="U66" s="268"/>
      <c r="V66" s="265"/>
      <c r="W66" s="265"/>
      <c r="X66" s="265"/>
      <c r="Y66" s="31" t="b">
        <f t="shared" si="15"/>
        <v>1</v>
      </c>
      <c r="Z66" s="149">
        <f t="shared" si="16"/>
        <v>0.6</v>
      </c>
      <c r="AA66" s="150" t="b">
        <f t="shared" si="17"/>
        <v>1</v>
      </c>
      <c r="AB66" s="150" t="b">
        <f t="shared" si="18"/>
        <v>1</v>
      </c>
    </row>
    <row r="67" spans="1:28" s="4" customFormat="1" ht="36.75" customHeight="1">
      <c r="A67" s="228">
        <v>65</v>
      </c>
      <c r="B67" s="227">
        <v>373</v>
      </c>
      <c r="C67" s="227" t="s">
        <v>106</v>
      </c>
      <c r="D67" s="227" t="s">
        <v>626</v>
      </c>
      <c r="E67" s="250">
        <v>2009011</v>
      </c>
      <c r="F67" s="228" t="s">
        <v>155</v>
      </c>
      <c r="G67" s="234" t="s">
        <v>627</v>
      </c>
      <c r="H67" s="219" t="s">
        <v>50</v>
      </c>
      <c r="I67" s="235">
        <v>0.278</v>
      </c>
      <c r="J67" s="236" t="s">
        <v>628</v>
      </c>
      <c r="K67" s="244">
        <v>2343000</v>
      </c>
      <c r="L67" s="205">
        <f t="shared" si="13"/>
        <v>1405800</v>
      </c>
      <c r="M67" s="174">
        <f t="shared" si="14"/>
        <v>937200</v>
      </c>
      <c r="N67" s="192">
        <v>0.6</v>
      </c>
      <c r="O67" s="193">
        <v>0</v>
      </c>
      <c r="P67" s="193">
        <v>0</v>
      </c>
      <c r="Q67" s="206">
        <v>0</v>
      </c>
      <c r="R67" s="193">
        <f aca="true" t="shared" si="19" ref="R67:R75">L67</f>
        <v>1405800</v>
      </c>
      <c r="S67" s="266"/>
      <c r="T67" s="266"/>
      <c r="U67" s="267"/>
      <c r="V67" s="265"/>
      <c r="W67" s="265"/>
      <c r="X67" s="265"/>
      <c r="Y67" s="31" t="b">
        <f t="shared" si="15"/>
        <v>1</v>
      </c>
      <c r="Z67" s="149">
        <f t="shared" si="16"/>
        <v>0.6</v>
      </c>
      <c r="AA67" s="150" t="b">
        <f t="shared" si="17"/>
        <v>1</v>
      </c>
      <c r="AB67" s="150" t="b">
        <f t="shared" si="18"/>
        <v>1</v>
      </c>
    </row>
    <row r="68" spans="1:28" s="4" customFormat="1" ht="36.75" customHeight="1">
      <c r="A68" s="228">
        <v>66</v>
      </c>
      <c r="B68" s="228">
        <v>302</v>
      </c>
      <c r="C68" s="227" t="s">
        <v>106</v>
      </c>
      <c r="D68" s="227" t="s">
        <v>408</v>
      </c>
      <c r="E68" s="250">
        <v>2002063</v>
      </c>
      <c r="F68" s="227" t="s">
        <v>52</v>
      </c>
      <c r="G68" s="234" t="s">
        <v>630</v>
      </c>
      <c r="H68" s="219" t="s">
        <v>49</v>
      </c>
      <c r="I68" s="235">
        <v>0.325</v>
      </c>
      <c r="J68" s="236" t="s">
        <v>416</v>
      </c>
      <c r="K68" s="244">
        <v>1202000</v>
      </c>
      <c r="L68" s="205">
        <f t="shared" si="13"/>
        <v>721200</v>
      </c>
      <c r="M68" s="174">
        <f t="shared" si="14"/>
        <v>480800</v>
      </c>
      <c r="N68" s="192">
        <v>0.6</v>
      </c>
      <c r="O68" s="193">
        <v>0</v>
      </c>
      <c r="P68" s="193">
        <v>0</v>
      </c>
      <c r="Q68" s="206">
        <v>0</v>
      </c>
      <c r="R68" s="178">
        <f t="shared" si="19"/>
        <v>721200</v>
      </c>
      <c r="S68" s="266"/>
      <c r="T68" s="266"/>
      <c r="U68" s="267"/>
      <c r="V68" s="265"/>
      <c r="W68" s="265"/>
      <c r="X68" s="265"/>
      <c r="Y68" s="31" t="b">
        <f t="shared" si="15"/>
        <v>1</v>
      </c>
      <c r="Z68" s="149">
        <f t="shared" si="16"/>
        <v>0.6</v>
      </c>
      <c r="AA68" s="150" t="b">
        <f t="shared" si="17"/>
        <v>1</v>
      </c>
      <c r="AB68" s="150" t="b">
        <f t="shared" si="18"/>
        <v>1</v>
      </c>
    </row>
    <row r="69" spans="1:28" s="4" customFormat="1" ht="36.75" customHeight="1">
      <c r="A69" s="228">
        <v>67</v>
      </c>
      <c r="B69" s="228">
        <v>279</v>
      </c>
      <c r="C69" s="227" t="s">
        <v>106</v>
      </c>
      <c r="D69" s="227" t="s">
        <v>207</v>
      </c>
      <c r="E69" s="250">
        <v>2007043</v>
      </c>
      <c r="F69" s="228" t="s">
        <v>62</v>
      </c>
      <c r="G69" s="234" t="s">
        <v>631</v>
      </c>
      <c r="H69" s="219" t="s">
        <v>50</v>
      </c>
      <c r="I69" s="235">
        <v>0.45</v>
      </c>
      <c r="J69" s="236" t="s">
        <v>411</v>
      </c>
      <c r="K69" s="244">
        <v>827608.32</v>
      </c>
      <c r="L69" s="205">
        <f t="shared" si="13"/>
        <v>413804.16</v>
      </c>
      <c r="M69" s="174">
        <f t="shared" si="14"/>
        <v>413804.16</v>
      </c>
      <c r="N69" s="192">
        <v>0.5</v>
      </c>
      <c r="O69" s="193">
        <v>0</v>
      </c>
      <c r="P69" s="193">
        <v>0</v>
      </c>
      <c r="Q69" s="206">
        <v>0</v>
      </c>
      <c r="R69" s="178">
        <f t="shared" si="19"/>
        <v>413804.16</v>
      </c>
      <c r="S69" s="266"/>
      <c r="T69" s="266"/>
      <c r="U69" s="267"/>
      <c r="V69" s="265"/>
      <c r="W69" s="265"/>
      <c r="X69" s="265"/>
      <c r="Y69" s="31" t="b">
        <f t="shared" si="15"/>
        <v>1</v>
      </c>
      <c r="Z69" s="149">
        <f t="shared" si="16"/>
        <v>0.5</v>
      </c>
      <c r="AA69" s="150" t="b">
        <f t="shared" si="17"/>
        <v>1</v>
      </c>
      <c r="AB69" s="150" t="b">
        <f t="shared" si="18"/>
        <v>1</v>
      </c>
    </row>
    <row r="70" spans="1:28" s="4" customFormat="1" ht="36.75" customHeight="1">
      <c r="A70" s="228">
        <v>68</v>
      </c>
      <c r="B70" s="227">
        <v>376</v>
      </c>
      <c r="C70" s="227" t="s">
        <v>106</v>
      </c>
      <c r="D70" s="227" t="s">
        <v>626</v>
      </c>
      <c r="E70" s="250">
        <v>2009011</v>
      </c>
      <c r="F70" s="228" t="s">
        <v>155</v>
      </c>
      <c r="G70" s="234" t="s">
        <v>632</v>
      </c>
      <c r="H70" s="219" t="s">
        <v>47</v>
      </c>
      <c r="I70" s="235">
        <v>0.28</v>
      </c>
      <c r="J70" s="236" t="s">
        <v>628</v>
      </c>
      <c r="K70" s="244">
        <v>2163000</v>
      </c>
      <c r="L70" s="205">
        <f t="shared" si="13"/>
        <v>1297800</v>
      </c>
      <c r="M70" s="174">
        <f t="shared" si="14"/>
        <v>865200</v>
      </c>
      <c r="N70" s="192">
        <v>0.6</v>
      </c>
      <c r="O70" s="193">
        <v>0</v>
      </c>
      <c r="P70" s="193">
        <v>0</v>
      </c>
      <c r="Q70" s="206">
        <v>0</v>
      </c>
      <c r="R70" s="178">
        <f t="shared" si="19"/>
        <v>1297800</v>
      </c>
      <c r="S70" s="266"/>
      <c r="T70" s="266"/>
      <c r="U70" s="267"/>
      <c r="V70" s="265"/>
      <c r="W70" s="265"/>
      <c r="X70" s="265"/>
      <c r="Y70" s="31" t="b">
        <f t="shared" si="15"/>
        <v>1</v>
      </c>
      <c r="Z70" s="149">
        <f t="shared" si="16"/>
        <v>0.6</v>
      </c>
      <c r="AA70" s="150" t="b">
        <f t="shared" si="17"/>
        <v>1</v>
      </c>
      <c r="AB70" s="150" t="b">
        <f t="shared" si="18"/>
        <v>1</v>
      </c>
    </row>
    <row r="71" spans="1:28" s="4" customFormat="1" ht="36.75" customHeight="1">
      <c r="A71" s="228">
        <v>69</v>
      </c>
      <c r="B71" s="227">
        <v>280</v>
      </c>
      <c r="C71" s="227" t="s">
        <v>106</v>
      </c>
      <c r="D71" s="227" t="s">
        <v>207</v>
      </c>
      <c r="E71" s="250">
        <v>2007043</v>
      </c>
      <c r="F71" s="228" t="s">
        <v>62</v>
      </c>
      <c r="G71" s="234" t="s">
        <v>633</v>
      </c>
      <c r="H71" s="219" t="s">
        <v>50</v>
      </c>
      <c r="I71" s="235">
        <v>0.891</v>
      </c>
      <c r="J71" s="236" t="s">
        <v>634</v>
      </c>
      <c r="K71" s="244">
        <v>2319383.63</v>
      </c>
      <c r="L71" s="205">
        <f t="shared" si="13"/>
        <v>1159691.81</v>
      </c>
      <c r="M71" s="174">
        <f t="shared" si="14"/>
        <v>1159691.8199999998</v>
      </c>
      <c r="N71" s="192">
        <v>0.5</v>
      </c>
      <c r="O71" s="193">
        <v>0</v>
      </c>
      <c r="P71" s="193">
        <v>0</v>
      </c>
      <c r="Q71" s="206">
        <v>0</v>
      </c>
      <c r="R71" s="178">
        <f t="shared" si="19"/>
        <v>1159691.81</v>
      </c>
      <c r="S71" s="266"/>
      <c r="T71" s="266"/>
      <c r="U71" s="267"/>
      <c r="V71" s="265"/>
      <c r="W71" s="265"/>
      <c r="X71" s="265"/>
      <c r="Y71" s="31" t="b">
        <f t="shared" si="15"/>
        <v>1</v>
      </c>
      <c r="Z71" s="149">
        <f t="shared" si="16"/>
        <v>0.5</v>
      </c>
      <c r="AA71" s="150" t="b">
        <f t="shared" si="17"/>
        <v>1</v>
      </c>
      <c r="AB71" s="150" t="b">
        <f t="shared" si="18"/>
        <v>1</v>
      </c>
    </row>
    <row r="72" spans="1:28" s="4" customFormat="1" ht="36.75" customHeight="1">
      <c r="A72" s="228">
        <v>70</v>
      </c>
      <c r="B72" s="228">
        <v>360</v>
      </c>
      <c r="C72" s="227" t="s">
        <v>106</v>
      </c>
      <c r="D72" s="227" t="s">
        <v>211</v>
      </c>
      <c r="E72" s="250">
        <v>2005073</v>
      </c>
      <c r="F72" s="227" t="s">
        <v>92</v>
      </c>
      <c r="G72" s="234" t="s">
        <v>635</v>
      </c>
      <c r="H72" s="219" t="s">
        <v>50</v>
      </c>
      <c r="I72" s="235">
        <v>0.49</v>
      </c>
      <c r="J72" s="236" t="s">
        <v>634</v>
      </c>
      <c r="K72" s="244">
        <v>2000000</v>
      </c>
      <c r="L72" s="205">
        <f t="shared" si="13"/>
        <v>1000000</v>
      </c>
      <c r="M72" s="174">
        <f t="shared" si="14"/>
        <v>1000000</v>
      </c>
      <c r="N72" s="192">
        <v>0.5</v>
      </c>
      <c r="O72" s="193">
        <v>0</v>
      </c>
      <c r="P72" s="193">
        <v>0</v>
      </c>
      <c r="Q72" s="206">
        <v>0</v>
      </c>
      <c r="R72" s="178">
        <f t="shared" si="19"/>
        <v>1000000</v>
      </c>
      <c r="S72" s="266"/>
      <c r="T72" s="266"/>
      <c r="U72" s="267"/>
      <c r="V72" s="265"/>
      <c r="W72" s="265"/>
      <c r="X72" s="265"/>
      <c r="Y72" s="31" t="b">
        <f t="shared" si="15"/>
        <v>1</v>
      </c>
      <c r="Z72" s="149">
        <f t="shared" si="16"/>
        <v>0.5</v>
      </c>
      <c r="AA72" s="150" t="b">
        <f t="shared" si="17"/>
        <v>1</v>
      </c>
      <c r="AB72" s="150" t="b">
        <f t="shared" si="18"/>
        <v>1</v>
      </c>
    </row>
    <row r="73" spans="1:28" s="4" customFormat="1" ht="36.75" customHeight="1">
      <c r="A73" s="228">
        <v>71</v>
      </c>
      <c r="B73" s="228">
        <v>350</v>
      </c>
      <c r="C73" s="227" t="s">
        <v>106</v>
      </c>
      <c r="D73" s="227" t="s">
        <v>496</v>
      </c>
      <c r="E73" s="250">
        <v>2012042</v>
      </c>
      <c r="F73" s="227" t="s">
        <v>57</v>
      </c>
      <c r="G73" s="234" t="s">
        <v>636</v>
      </c>
      <c r="H73" s="219" t="s">
        <v>47</v>
      </c>
      <c r="I73" s="235">
        <v>0.573</v>
      </c>
      <c r="J73" s="236" t="s">
        <v>307</v>
      </c>
      <c r="K73" s="244">
        <v>1526623.8</v>
      </c>
      <c r="L73" s="205">
        <f t="shared" si="13"/>
        <v>763311.9</v>
      </c>
      <c r="M73" s="174">
        <f t="shared" si="14"/>
        <v>763311.9</v>
      </c>
      <c r="N73" s="192">
        <v>0.5</v>
      </c>
      <c r="O73" s="193">
        <v>0</v>
      </c>
      <c r="P73" s="193">
        <v>0</v>
      </c>
      <c r="Q73" s="206">
        <v>0</v>
      </c>
      <c r="R73" s="178">
        <f t="shared" si="19"/>
        <v>763311.9</v>
      </c>
      <c r="S73" s="266"/>
      <c r="T73" s="266"/>
      <c r="U73" s="267"/>
      <c r="V73" s="265"/>
      <c r="W73" s="265"/>
      <c r="X73" s="265"/>
      <c r="Y73" s="31" t="b">
        <f t="shared" si="15"/>
        <v>1</v>
      </c>
      <c r="Z73" s="149">
        <f t="shared" si="16"/>
        <v>0.5</v>
      </c>
      <c r="AA73" s="150" t="b">
        <f t="shared" si="17"/>
        <v>1</v>
      </c>
      <c r="AB73" s="150" t="b">
        <f t="shared" si="18"/>
        <v>1</v>
      </c>
    </row>
    <row r="74" spans="1:28" s="4" customFormat="1" ht="36.75" customHeight="1">
      <c r="A74" s="228">
        <v>72</v>
      </c>
      <c r="B74" s="228">
        <v>377</v>
      </c>
      <c r="C74" s="227" t="s">
        <v>106</v>
      </c>
      <c r="D74" s="227" t="s">
        <v>197</v>
      </c>
      <c r="E74" s="250">
        <v>2007052</v>
      </c>
      <c r="F74" s="228" t="s">
        <v>62</v>
      </c>
      <c r="G74" s="234" t="s">
        <v>637</v>
      </c>
      <c r="H74" s="219" t="s">
        <v>50</v>
      </c>
      <c r="I74" s="235">
        <v>0.295</v>
      </c>
      <c r="J74" s="236" t="s">
        <v>320</v>
      </c>
      <c r="K74" s="244">
        <v>663576.07</v>
      </c>
      <c r="L74" s="205">
        <f t="shared" si="13"/>
        <v>331788.03</v>
      </c>
      <c r="M74" s="174">
        <f t="shared" si="14"/>
        <v>331788.0399999999</v>
      </c>
      <c r="N74" s="192">
        <v>0.5</v>
      </c>
      <c r="O74" s="193">
        <v>0</v>
      </c>
      <c r="P74" s="193">
        <v>0</v>
      </c>
      <c r="Q74" s="206">
        <v>0</v>
      </c>
      <c r="R74" s="193">
        <f t="shared" si="19"/>
        <v>331788.03</v>
      </c>
      <c r="S74" s="266"/>
      <c r="T74" s="266"/>
      <c r="U74" s="267"/>
      <c r="V74" s="265"/>
      <c r="W74" s="265"/>
      <c r="X74" s="265"/>
      <c r="Y74" s="31" t="b">
        <f t="shared" si="15"/>
        <v>1</v>
      </c>
      <c r="Z74" s="149">
        <f t="shared" si="16"/>
        <v>0.5</v>
      </c>
      <c r="AA74" s="150" t="b">
        <f t="shared" si="17"/>
        <v>1</v>
      </c>
      <c r="AB74" s="150" t="b">
        <f t="shared" si="18"/>
        <v>1</v>
      </c>
    </row>
    <row r="75" spans="1:28" s="4" customFormat="1" ht="36.75" customHeight="1">
      <c r="A75" s="228">
        <v>73</v>
      </c>
      <c r="B75" s="227">
        <v>223</v>
      </c>
      <c r="C75" s="227" t="s">
        <v>106</v>
      </c>
      <c r="D75" s="227" t="s">
        <v>196</v>
      </c>
      <c r="E75" s="250">
        <v>2001011</v>
      </c>
      <c r="F75" s="227" t="s">
        <v>157</v>
      </c>
      <c r="G75" s="234" t="s">
        <v>638</v>
      </c>
      <c r="H75" s="219" t="s">
        <v>47</v>
      </c>
      <c r="I75" s="235">
        <v>0.642</v>
      </c>
      <c r="J75" s="236" t="s">
        <v>301</v>
      </c>
      <c r="K75" s="244">
        <v>2873500</v>
      </c>
      <c r="L75" s="205">
        <f aca="true" t="shared" si="20" ref="L75:L87">ROUNDDOWN(K75*N75,2)</f>
        <v>1436750</v>
      </c>
      <c r="M75" s="174">
        <f aca="true" t="shared" si="21" ref="M75:M88">K75-L75</f>
        <v>1436750</v>
      </c>
      <c r="N75" s="192">
        <v>0.5</v>
      </c>
      <c r="O75" s="193">
        <v>0</v>
      </c>
      <c r="P75" s="193">
        <v>0</v>
      </c>
      <c r="Q75" s="206">
        <v>0</v>
      </c>
      <c r="R75" s="193">
        <f t="shared" si="19"/>
        <v>1436750</v>
      </c>
      <c r="S75" s="266"/>
      <c r="T75" s="266"/>
      <c r="U75" s="267"/>
      <c r="V75" s="265"/>
      <c r="W75" s="265"/>
      <c r="X75" s="265"/>
      <c r="Y75" s="31" t="b">
        <f t="shared" si="15"/>
        <v>1</v>
      </c>
      <c r="Z75" s="149">
        <f t="shared" si="16"/>
        <v>0.5</v>
      </c>
      <c r="AA75" s="150" t="b">
        <f t="shared" si="17"/>
        <v>1</v>
      </c>
      <c r="AB75" s="150" t="b">
        <f t="shared" si="18"/>
        <v>1</v>
      </c>
    </row>
    <row r="76" spans="1:28" s="4" customFormat="1" ht="36.75" customHeight="1">
      <c r="A76" s="220">
        <v>74</v>
      </c>
      <c r="B76" s="220">
        <v>283</v>
      </c>
      <c r="C76" s="220" t="s">
        <v>65</v>
      </c>
      <c r="D76" s="220" t="s">
        <v>207</v>
      </c>
      <c r="E76" s="248">
        <v>2007043</v>
      </c>
      <c r="F76" s="220" t="s">
        <v>62</v>
      </c>
      <c r="G76" s="221" t="s">
        <v>639</v>
      </c>
      <c r="H76" s="184" t="s">
        <v>50</v>
      </c>
      <c r="I76" s="222">
        <v>0.696</v>
      </c>
      <c r="J76" s="223" t="s">
        <v>640</v>
      </c>
      <c r="K76" s="37">
        <v>3027791.36</v>
      </c>
      <c r="L76" s="173">
        <f>ROUNDDOWN(K76*N76,2)</f>
        <v>1513895.68</v>
      </c>
      <c r="M76" s="37">
        <f>K76-L76</f>
        <v>1513895.68</v>
      </c>
      <c r="N76" s="183">
        <v>0.5</v>
      </c>
      <c r="O76" s="175">
        <v>0</v>
      </c>
      <c r="P76" s="175">
        <v>0</v>
      </c>
      <c r="Q76" s="179">
        <v>0</v>
      </c>
      <c r="R76" s="175">
        <f>46950*N76</f>
        <v>23475</v>
      </c>
      <c r="S76" s="175">
        <f>2980841.36*N76</f>
        <v>1490420.68</v>
      </c>
      <c r="T76" s="175"/>
      <c r="U76" s="268"/>
      <c r="V76" s="265"/>
      <c r="W76" s="265"/>
      <c r="X76" s="265"/>
      <c r="Y76" s="31" t="b">
        <f t="shared" si="15"/>
        <v>1</v>
      </c>
      <c r="Z76" s="149">
        <f t="shared" si="16"/>
        <v>0.5</v>
      </c>
      <c r="AA76" s="150" t="b">
        <f t="shared" si="17"/>
        <v>1</v>
      </c>
      <c r="AB76" s="150" t="b">
        <f t="shared" si="18"/>
        <v>1</v>
      </c>
    </row>
    <row r="77" spans="1:28" s="4" customFormat="1" ht="36.75" customHeight="1">
      <c r="A77" s="220">
        <v>75</v>
      </c>
      <c r="B77" s="220">
        <v>46</v>
      </c>
      <c r="C77" s="220" t="s">
        <v>65</v>
      </c>
      <c r="D77" s="220" t="s">
        <v>480</v>
      </c>
      <c r="E77" s="220">
        <v>2012012</v>
      </c>
      <c r="F77" s="220" t="s">
        <v>57</v>
      </c>
      <c r="G77" s="221" t="s">
        <v>641</v>
      </c>
      <c r="H77" s="184" t="s">
        <v>50</v>
      </c>
      <c r="I77" s="222">
        <v>0.8</v>
      </c>
      <c r="J77" s="220" t="s">
        <v>642</v>
      </c>
      <c r="K77" s="37">
        <v>381546</v>
      </c>
      <c r="L77" s="173">
        <f t="shared" si="20"/>
        <v>190773</v>
      </c>
      <c r="M77" s="37">
        <f t="shared" si="21"/>
        <v>190773</v>
      </c>
      <c r="N77" s="183">
        <v>0.5</v>
      </c>
      <c r="O77" s="175">
        <v>0</v>
      </c>
      <c r="P77" s="175">
        <v>0</v>
      </c>
      <c r="Q77" s="179">
        <v>0</v>
      </c>
      <c r="R77" s="176">
        <f>30264*N77</f>
        <v>15132</v>
      </c>
      <c r="S77" s="175">
        <f>351282*N77</f>
        <v>175641</v>
      </c>
      <c r="T77" s="175"/>
      <c r="U77" s="268"/>
      <c r="V77" s="265"/>
      <c r="W77" s="265"/>
      <c r="X77" s="265"/>
      <c r="Y77" s="31" t="b">
        <f t="shared" si="15"/>
        <v>1</v>
      </c>
      <c r="Z77" s="149">
        <f t="shared" si="16"/>
        <v>0.5</v>
      </c>
      <c r="AA77" s="150" t="b">
        <f t="shared" si="17"/>
        <v>1</v>
      </c>
      <c r="AB77" s="150" t="b">
        <f t="shared" si="18"/>
        <v>1</v>
      </c>
    </row>
    <row r="78" spans="1:28" s="4" customFormat="1" ht="36.75" customHeight="1">
      <c r="A78" s="228">
        <v>76</v>
      </c>
      <c r="B78" s="228">
        <v>71</v>
      </c>
      <c r="C78" s="227" t="s">
        <v>106</v>
      </c>
      <c r="D78" s="227" t="s">
        <v>523</v>
      </c>
      <c r="E78" s="250">
        <v>2006042</v>
      </c>
      <c r="F78" s="227" t="s">
        <v>147</v>
      </c>
      <c r="G78" s="230" t="s">
        <v>643</v>
      </c>
      <c r="H78" s="219" t="s">
        <v>50</v>
      </c>
      <c r="I78" s="235">
        <v>0.542</v>
      </c>
      <c r="J78" s="228" t="s">
        <v>416</v>
      </c>
      <c r="K78" s="244">
        <v>461900</v>
      </c>
      <c r="L78" s="205">
        <f t="shared" si="20"/>
        <v>230950</v>
      </c>
      <c r="M78" s="174">
        <f t="shared" si="21"/>
        <v>230950</v>
      </c>
      <c r="N78" s="192">
        <v>0.5</v>
      </c>
      <c r="O78" s="193">
        <v>0</v>
      </c>
      <c r="P78" s="193">
        <v>0</v>
      </c>
      <c r="Q78" s="206">
        <v>0</v>
      </c>
      <c r="R78" s="178">
        <f>L78</f>
        <v>230950</v>
      </c>
      <c r="S78" s="266"/>
      <c r="T78" s="266"/>
      <c r="U78" s="267"/>
      <c r="V78" s="265"/>
      <c r="W78" s="265"/>
      <c r="X78" s="265"/>
      <c r="Y78" s="31" t="b">
        <f t="shared" si="15"/>
        <v>1</v>
      </c>
      <c r="Z78" s="149">
        <f t="shared" si="16"/>
        <v>0.5</v>
      </c>
      <c r="AA78" s="150" t="b">
        <f t="shared" si="17"/>
        <v>1</v>
      </c>
      <c r="AB78" s="150" t="b">
        <f t="shared" si="18"/>
        <v>1</v>
      </c>
    </row>
    <row r="79" spans="1:28" s="4" customFormat="1" ht="36.75" customHeight="1">
      <c r="A79" s="228">
        <v>77</v>
      </c>
      <c r="B79" s="228">
        <v>72</v>
      </c>
      <c r="C79" s="227" t="s">
        <v>106</v>
      </c>
      <c r="D79" s="227" t="s">
        <v>523</v>
      </c>
      <c r="E79" s="250">
        <v>2006042</v>
      </c>
      <c r="F79" s="227" t="s">
        <v>147</v>
      </c>
      <c r="G79" s="230" t="s">
        <v>644</v>
      </c>
      <c r="H79" s="219" t="s">
        <v>50</v>
      </c>
      <c r="I79" s="235">
        <v>0.329</v>
      </c>
      <c r="J79" s="228" t="s">
        <v>416</v>
      </c>
      <c r="K79" s="244">
        <v>280850</v>
      </c>
      <c r="L79" s="205">
        <f t="shared" si="20"/>
        <v>140425</v>
      </c>
      <c r="M79" s="174">
        <f t="shared" si="21"/>
        <v>140425</v>
      </c>
      <c r="N79" s="192">
        <v>0.5</v>
      </c>
      <c r="O79" s="193">
        <v>0</v>
      </c>
      <c r="P79" s="193">
        <v>0</v>
      </c>
      <c r="Q79" s="206">
        <v>0</v>
      </c>
      <c r="R79" s="178">
        <f>L79</f>
        <v>140425</v>
      </c>
      <c r="S79" s="266"/>
      <c r="T79" s="266"/>
      <c r="U79" s="267"/>
      <c r="V79" s="265"/>
      <c r="W79" s="265"/>
      <c r="X79" s="265"/>
      <c r="Y79" s="31" t="b">
        <f t="shared" si="15"/>
        <v>1</v>
      </c>
      <c r="Z79" s="149">
        <f t="shared" si="16"/>
        <v>0.5</v>
      </c>
      <c r="AA79" s="150" t="b">
        <f t="shared" si="17"/>
        <v>1</v>
      </c>
      <c r="AB79" s="150" t="b">
        <f t="shared" si="18"/>
        <v>1</v>
      </c>
    </row>
    <row r="80" spans="1:28" s="4" customFormat="1" ht="36.75" customHeight="1">
      <c r="A80" s="228">
        <v>78</v>
      </c>
      <c r="B80" s="228">
        <v>45</v>
      </c>
      <c r="C80" s="227" t="s">
        <v>106</v>
      </c>
      <c r="D80" s="227" t="s">
        <v>480</v>
      </c>
      <c r="E80" s="227">
        <v>2012012</v>
      </c>
      <c r="F80" s="227" t="s">
        <v>57</v>
      </c>
      <c r="G80" s="230" t="s">
        <v>645</v>
      </c>
      <c r="H80" s="219" t="s">
        <v>50</v>
      </c>
      <c r="I80" s="235">
        <v>2.1</v>
      </c>
      <c r="J80" s="228" t="s">
        <v>419</v>
      </c>
      <c r="K80" s="174">
        <v>828576</v>
      </c>
      <c r="L80" s="205">
        <f t="shared" si="20"/>
        <v>414288</v>
      </c>
      <c r="M80" s="174">
        <f t="shared" si="21"/>
        <v>414288</v>
      </c>
      <c r="N80" s="192">
        <v>0.5</v>
      </c>
      <c r="O80" s="193">
        <v>0</v>
      </c>
      <c r="P80" s="193">
        <v>0</v>
      </c>
      <c r="Q80" s="206">
        <v>0</v>
      </c>
      <c r="R80" s="178">
        <f>L80</f>
        <v>414288</v>
      </c>
      <c r="S80" s="193"/>
      <c r="T80" s="193"/>
      <c r="U80" s="264"/>
      <c r="V80" s="265"/>
      <c r="W80" s="265"/>
      <c r="X80" s="265"/>
      <c r="Y80" s="31" t="b">
        <f t="shared" si="15"/>
        <v>1</v>
      </c>
      <c r="Z80" s="149">
        <f t="shared" si="16"/>
        <v>0.5</v>
      </c>
      <c r="AA80" s="150" t="b">
        <f t="shared" si="17"/>
        <v>1</v>
      </c>
      <c r="AB80" s="150" t="b">
        <f t="shared" si="18"/>
        <v>1</v>
      </c>
    </row>
    <row r="81" spans="1:28" s="4" customFormat="1" ht="36.75" customHeight="1">
      <c r="A81" s="220">
        <v>79</v>
      </c>
      <c r="B81" s="220">
        <v>18</v>
      </c>
      <c r="C81" s="220" t="s">
        <v>65</v>
      </c>
      <c r="D81" s="220" t="s">
        <v>84</v>
      </c>
      <c r="E81" s="248">
        <v>2002112</v>
      </c>
      <c r="F81" s="220" t="s">
        <v>52</v>
      </c>
      <c r="G81" s="221" t="s">
        <v>646</v>
      </c>
      <c r="H81" s="184" t="s">
        <v>50</v>
      </c>
      <c r="I81" s="222">
        <v>0.305</v>
      </c>
      <c r="J81" s="220" t="s">
        <v>474</v>
      </c>
      <c r="K81" s="37">
        <v>803905</v>
      </c>
      <c r="L81" s="173">
        <f t="shared" si="20"/>
        <v>401952.5</v>
      </c>
      <c r="M81" s="37">
        <f t="shared" si="21"/>
        <v>401952.5</v>
      </c>
      <c r="N81" s="183">
        <v>0.5</v>
      </c>
      <c r="O81" s="175">
        <v>0</v>
      </c>
      <c r="P81" s="175">
        <v>0</v>
      </c>
      <c r="Q81" s="179">
        <v>0</v>
      </c>
      <c r="R81" s="175">
        <f>1500*N81</f>
        <v>750</v>
      </c>
      <c r="S81" s="175">
        <f>802405*N81</f>
        <v>401202.5</v>
      </c>
      <c r="T81" s="175"/>
      <c r="U81" s="268"/>
      <c r="V81" s="265"/>
      <c r="W81" s="265"/>
      <c r="X81" s="265"/>
      <c r="Y81" s="31" t="b">
        <f t="shared" si="15"/>
        <v>1</v>
      </c>
      <c r="Z81" s="149">
        <f t="shared" si="16"/>
        <v>0.5</v>
      </c>
      <c r="AA81" s="150" t="b">
        <f t="shared" si="17"/>
        <v>1</v>
      </c>
      <c r="AB81" s="150" t="b">
        <f t="shared" si="18"/>
        <v>1</v>
      </c>
    </row>
    <row r="82" spans="1:28" s="4" customFormat="1" ht="36.75" customHeight="1">
      <c r="A82" s="220">
        <v>80</v>
      </c>
      <c r="B82" s="220">
        <v>319</v>
      </c>
      <c r="C82" s="220" t="s">
        <v>65</v>
      </c>
      <c r="D82" s="220" t="s">
        <v>647</v>
      </c>
      <c r="E82" s="248">
        <v>2003062</v>
      </c>
      <c r="F82" s="220" t="s">
        <v>55</v>
      </c>
      <c r="G82" s="221" t="s">
        <v>648</v>
      </c>
      <c r="H82" s="184" t="s">
        <v>50</v>
      </c>
      <c r="I82" s="222">
        <v>2.5</v>
      </c>
      <c r="J82" s="223" t="s">
        <v>649</v>
      </c>
      <c r="K82" s="37">
        <v>2626100</v>
      </c>
      <c r="L82" s="173">
        <f>ROUNDDOWN(K82*N82,2)</f>
        <v>1313050</v>
      </c>
      <c r="M82" s="37">
        <f>K82-L82</f>
        <v>1313050</v>
      </c>
      <c r="N82" s="183">
        <v>0.5</v>
      </c>
      <c r="O82" s="175">
        <v>0</v>
      </c>
      <c r="P82" s="175">
        <v>0</v>
      </c>
      <c r="Q82" s="179">
        <v>0</v>
      </c>
      <c r="R82" s="175">
        <f>26100*N82</f>
        <v>13050</v>
      </c>
      <c r="S82" s="175">
        <f>2600000*N82</f>
        <v>1300000</v>
      </c>
      <c r="T82" s="175"/>
      <c r="U82" s="268"/>
      <c r="V82" s="265"/>
      <c r="W82" s="265"/>
      <c r="X82" s="265"/>
      <c r="Y82" s="31" t="b">
        <f t="shared" si="15"/>
        <v>1</v>
      </c>
      <c r="Z82" s="149">
        <f t="shared" si="16"/>
        <v>0.5</v>
      </c>
      <c r="AA82" s="150" t="b">
        <f t="shared" si="17"/>
        <v>1</v>
      </c>
      <c r="AB82" s="150" t="b">
        <f t="shared" si="18"/>
        <v>1</v>
      </c>
    </row>
    <row r="83" spans="1:28" s="4" customFormat="1" ht="36.75" customHeight="1">
      <c r="A83" s="228">
        <v>81</v>
      </c>
      <c r="B83" s="227">
        <v>316</v>
      </c>
      <c r="C83" s="227" t="s">
        <v>106</v>
      </c>
      <c r="D83" s="227" t="s">
        <v>204</v>
      </c>
      <c r="E83" s="250">
        <v>2002103</v>
      </c>
      <c r="F83" s="227" t="s">
        <v>52</v>
      </c>
      <c r="G83" s="234" t="s">
        <v>205</v>
      </c>
      <c r="H83" s="218" t="s">
        <v>49</v>
      </c>
      <c r="I83" s="231">
        <v>0.45</v>
      </c>
      <c r="J83" s="232" t="s">
        <v>323</v>
      </c>
      <c r="K83" s="174">
        <v>1702500</v>
      </c>
      <c r="L83" s="205">
        <f t="shared" si="20"/>
        <v>851250</v>
      </c>
      <c r="M83" s="174">
        <f t="shared" si="21"/>
        <v>851250</v>
      </c>
      <c r="N83" s="192">
        <v>0.5</v>
      </c>
      <c r="O83" s="193">
        <v>0</v>
      </c>
      <c r="P83" s="193">
        <v>0</v>
      </c>
      <c r="Q83" s="206">
        <v>0</v>
      </c>
      <c r="R83" s="178">
        <f>L83</f>
        <v>851250</v>
      </c>
      <c r="S83" s="266"/>
      <c r="T83" s="266"/>
      <c r="U83" s="267"/>
      <c r="V83" s="265"/>
      <c r="W83" s="265"/>
      <c r="X83" s="265"/>
      <c r="Y83" s="31" t="b">
        <f t="shared" si="15"/>
        <v>1</v>
      </c>
      <c r="Z83" s="149">
        <f t="shared" si="16"/>
        <v>0.5</v>
      </c>
      <c r="AA83" s="150" t="b">
        <f t="shared" si="17"/>
        <v>1</v>
      </c>
      <c r="AB83" s="150" t="b">
        <f t="shared" si="18"/>
        <v>1</v>
      </c>
    </row>
    <row r="84" spans="1:28" s="4" customFormat="1" ht="36.75" customHeight="1">
      <c r="A84" s="228">
        <v>82</v>
      </c>
      <c r="B84" s="228">
        <v>369</v>
      </c>
      <c r="C84" s="227" t="s">
        <v>106</v>
      </c>
      <c r="D84" s="227" t="s">
        <v>521</v>
      </c>
      <c r="E84" s="250">
        <v>2009032</v>
      </c>
      <c r="F84" s="228" t="s">
        <v>155</v>
      </c>
      <c r="G84" s="234" t="s">
        <v>650</v>
      </c>
      <c r="H84" s="219" t="s">
        <v>50</v>
      </c>
      <c r="I84" s="235">
        <v>2.3</v>
      </c>
      <c r="J84" s="232" t="s">
        <v>651</v>
      </c>
      <c r="K84" s="174">
        <v>2099021.6</v>
      </c>
      <c r="L84" s="205">
        <f t="shared" si="20"/>
        <v>1049510.8</v>
      </c>
      <c r="M84" s="174">
        <f t="shared" si="21"/>
        <v>1049510.8</v>
      </c>
      <c r="N84" s="192">
        <v>0.5</v>
      </c>
      <c r="O84" s="193">
        <v>0</v>
      </c>
      <c r="P84" s="193">
        <v>0</v>
      </c>
      <c r="Q84" s="206">
        <v>0</v>
      </c>
      <c r="R84" s="193">
        <f>L84</f>
        <v>1049510.8</v>
      </c>
      <c r="S84" s="266"/>
      <c r="T84" s="266"/>
      <c r="U84" s="267"/>
      <c r="V84" s="265"/>
      <c r="W84" s="265"/>
      <c r="X84" s="265"/>
      <c r="Y84" s="31" t="b">
        <f t="shared" si="15"/>
        <v>1</v>
      </c>
      <c r="Z84" s="149">
        <f t="shared" si="16"/>
        <v>0.5</v>
      </c>
      <c r="AA84" s="150" t="b">
        <f t="shared" si="17"/>
        <v>1</v>
      </c>
      <c r="AB84" s="150" t="b">
        <f t="shared" si="18"/>
        <v>1</v>
      </c>
    </row>
    <row r="85" spans="1:28" s="4" customFormat="1" ht="36.75" customHeight="1">
      <c r="A85" s="228">
        <v>83</v>
      </c>
      <c r="B85" s="228">
        <v>267</v>
      </c>
      <c r="C85" s="227" t="s">
        <v>106</v>
      </c>
      <c r="D85" s="227" t="s">
        <v>528</v>
      </c>
      <c r="E85" s="250">
        <v>2006032</v>
      </c>
      <c r="F85" s="227" t="s">
        <v>147</v>
      </c>
      <c r="G85" s="234" t="s">
        <v>652</v>
      </c>
      <c r="H85" s="219" t="s">
        <v>50</v>
      </c>
      <c r="I85" s="235">
        <v>0.513</v>
      </c>
      <c r="J85" s="232" t="s">
        <v>653</v>
      </c>
      <c r="K85" s="174">
        <v>476200</v>
      </c>
      <c r="L85" s="205">
        <f t="shared" si="20"/>
        <v>238100</v>
      </c>
      <c r="M85" s="174">
        <f t="shared" si="21"/>
        <v>238100</v>
      </c>
      <c r="N85" s="192">
        <v>0.5</v>
      </c>
      <c r="O85" s="193">
        <v>0</v>
      </c>
      <c r="P85" s="193">
        <v>0</v>
      </c>
      <c r="Q85" s="206">
        <v>0</v>
      </c>
      <c r="R85" s="193">
        <f>L85</f>
        <v>238100</v>
      </c>
      <c r="S85" s="266"/>
      <c r="T85" s="266"/>
      <c r="U85" s="267"/>
      <c r="V85" s="265"/>
      <c r="W85" s="265"/>
      <c r="X85" s="265"/>
      <c r="Y85" s="31" t="b">
        <f t="shared" si="15"/>
        <v>1</v>
      </c>
      <c r="Z85" s="149">
        <f t="shared" si="16"/>
        <v>0.5</v>
      </c>
      <c r="AA85" s="150" t="b">
        <f t="shared" si="17"/>
        <v>1</v>
      </c>
      <c r="AB85" s="150" t="b">
        <f t="shared" si="18"/>
        <v>1</v>
      </c>
    </row>
    <row r="86" spans="1:28" s="4" customFormat="1" ht="36.75" customHeight="1">
      <c r="A86" s="227">
        <v>84</v>
      </c>
      <c r="B86" s="228">
        <v>2</v>
      </c>
      <c r="C86" s="227" t="s">
        <v>106</v>
      </c>
      <c r="D86" s="228" t="s">
        <v>532</v>
      </c>
      <c r="E86" s="250">
        <v>2012052</v>
      </c>
      <c r="F86" s="227" t="s">
        <v>57</v>
      </c>
      <c r="G86" s="230" t="s">
        <v>654</v>
      </c>
      <c r="H86" s="228" t="s">
        <v>75</v>
      </c>
      <c r="I86" s="231">
        <v>1</v>
      </c>
      <c r="J86" s="228" t="s">
        <v>534</v>
      </c>
      <c r="K86" s="174">
        <v>537716.7</v>
      </c>
      <c r="L86" s="205">
        <f t="shared" si="20"/>
        <v>268858.35</v>
      </c>
      <c r="M86" s="174">
        <f t="shared" si="21"/>
        <v>268858.35</v>
      </c>
      <c r="N86" s="192">
        <v>0.5</v>
      </c>
      <c r="O86" s="193">
        <v>0</v>
      </c>
      <c r="P86" s="193">
        <v>0</v>
      </c>
      <c r="Q86" s="206">
        <v>0</v>
      </c>
      <c r="R86" s="193">
        <f>L86</f>
        <v>268858.35</v>
      </c>
      <c r="S86" s="193"/>
      <c r="T86" s="193"/>
      <c r="U86" s="264"/>
      <c r="V86" s="265"/>
      <c r="W86" s="265"/>
      <c r="X86" s="265"/>
      <c r="Y86" s="31" t="b">
        <f t="shared" si="15"/>
        <v>1</v>
      </c>
      <c r="Z86" s="149">
        <f t="shared" si="16"/>
        <v>0.5</v>
      </c>
      <c r="AA86" s="150" t="b">
        <f t="shared" si="17"/>
        <v>1</v>
      </c>
      <c r="AB86" s="150" t="b">
        <f t="shared" si="18"/>
        <v>1</v>
      </c>
    </row>
    <row r="87" spans="1:28" s="4" customFormat="1" ht="36.75" customHeight="1">
      <c r="A87" s="220">
        <v>85</v>
      </c>
      <c r="B87" s="220">
        <v>181</v>
      </c>
      <c r="C87" s="220" t="s">
        <v>65</v>
      </c>
      <c r="D87" s="220" t="s">
        <v>517</v>
      </c>
      <c r="E87" s="248">
        <v>2006011</v>
      </c>
      <c r="F87" s="220" t="s">
        <v>147</v>
      </c>
      <c r="G87" s="221" t="s">
        <v>655</v>
      </c>
      <c r="H87" s="184" t="s">
        <v>49</v>
      </c>
      <c r="I87" s="222">
        <v>0.174</v>
      </c>
      <c r="J87" s="223" t="s">
        <v>656</v>
      </c>
      <c r="K87" s="37">
        <v>711000</v>
      </c>
      <c r="L87" s="173">
        <f t="shared" si="20"/>
        <v>426600</v>
      </c>
      <c r="M87" s="37">
        <f t="shared" si="21"/>
        <v>284400</v>
      </c>
      <c r="N87" s="183">
        <v>0.6</v>
      </c>
      <c r="O87" s="175">
        <v>0</v>
      </c>
      <c r="P87" s="175">
        <v>0</v>
      </c>
      <c r="Q87" s="179">
        <v>0</v>
      </c>
      <c r="R87" s="175">
        <f>350000*N87</f>
        <v>210000</v>
      </c>
      <c r="S87" s="175">
        <f>361000*N87</f>
        <v>216600</v>
      </c>
      <c r="T87" s="175"/>
      <c r="U87" s="268"/>
      <c r="V87" s="265"/>
      <c r="W87" s="265"/>
      <c r="X87" s="265"/>
      <c r="Y87" s="31" t="b">
        <f t="shared" si="15"/>
        <v>1</v>
      </c>
      <c r="Z87" s="149">
        <f t="shared" si="16"/>
        <v>0.6</v>
      </c>
      <c r="AA87" s="150" t="b">
        <f t="shared" si="17"/>
        <v>1</v>
      </c>
      <c r="AB87" s="150" t="b">
        <f t="shared" si="18"/>
        <v>1</v>
      </c>
    </row>
    <row r="88" spans="1:28" s="4" customFormat="1" ht="36.75" customHeight="1">
      <c r="A88" s="228">
        <v>86</v>
      </c>
      <c r="B88" s="228">
        <v>182</v>
      </c>
      <c r="C88" s="227" t="s">
        <v>106</v>
      </c>
      <c r="D88" s="227" t="s">
        <v>517</v>
      </c>
      <c r="E88" s="250">
        <v>2006011</v>
      </c>
      <c r="F88" s="227" t="s">
        <v>147</v>
      </c>
      <c r="G88" s="234" t="s">
        <v>657</v>
      </c>
      <c r="H88" s="219" t="s">
        <v>50</v>
      </c>
      <c r="I88" s="231">
        <v>0.141</v>
      </c>
      <c r="J88" s="232" t="s">
        <v>419</v>
      </c>
      <c r="K88" s="174">
        <v>501000</v>
      </c>
      <c r="L88" s="205">
        <f>ROUNDDOWN(K88*N88,2)-2172.56</f>
        <v>298427.44</v>
      </c>
      <c r="M88" s="174">
        <f t="shared" si="21"/>
        <v>202572.56</v>
      </c>
      <c r="N88" s="192">
        <v>0.6</v>
      </c>
      <c r="O88" s="193">
        <v>0</v>
      </c>
      <c r="P88" s="193">
        <v>0</v>
      </c>
      <c r="Q88" s="206">
        <v>0</v>
      </c>
      <c r="R88" s="193">
        <f>L88</f>
        <v>298427.44</v>
      </c>
      <c r="S88" s="266"/>
      <c r="T88" s="266"/>
      <c r="U88" s="267"/>
      <c r="V88" s="265"/>
      <c r="W88" s="265"/>
      <c r="X88" s="265"/>
      <c r="Y88" s="31" t="b">
        <f t="shared" si="15"/>
        <v>1</v>
      </c>
      <c r="Z88" s="149">
        <f t="shared" si="16"/>
        <v>0.5957</v>
      </c>
      <c r="AA88" s="150" t="b">
        <f t="shared" si="17"/>
        <v>0</v>
      </c>
      <c r="AB88" s="150" t="b">
        <f t="shared" si="18"/>
        <v>1</v>
      </c>
    </row>
    <row r="89" spans="1:28" s="20" customFormat="1" ht="19.5" customHeight="1">
      <c r="A89" s="323" t="s">
        <v>44</v>
      </c>
      <c r="B89" s="324"/>
      <c r="C89" s="324"/>
      <c r="D89" s="324"/>
      <c r="E89" s="324"/>
      <c r="F89" s="324"/>
      <c r="G89" s="324"/>
      <c r="H89" s="325"/>
      <c r="I89" s="139">
        <f>SUM(I3:I88)</f>
        <v>75.01800000000001</v>
      </c>
      <c r="J89" s="140" t="s">
        <v>14</v>
      </c>
      <c r="K89" s="36">
        <f>SUM(K3:K88)</f>
        <v>243523626.22000006</v>
      </c>
      <c r="L89" s="36">
        <f>SUM(L3:L88)</f>
        <v>131450673.06000002</v>
      </c>
      <c r="M89" s="36">
        <f>SUM(M3:M88)</f>
        <v>112072953.16000001</v>
      </c>
      <c r="N89" s="141" t="s">
        <v>14</v>
      </c>
      <c r="O89" s="147">
        <f aca="true" t="shared" si="22" ref="O89:X89">SUM(O3:O88)</f>
        <v>0</v>
      </c>
      <c r="P89" s="147">
        <f t="shared" si="22"/>
        <v>0</v>
      </c>
      <c r="Q89" s="147">
        <f t="shared" si="22"/>
        <v>0</v>
      </c>
      <c r="R89" s="147">
        <f t="shared" si="22"/>
        <v>71001087.855</v>
      </c>
      <c r="S89" s="147">
        <f t="shared" si="22"/>
        <v>50727151.464999996</v>
      </c>
      <c r="T89" s="147">
        <f t="shared" si="22"/>
        <v>9722433.74</v>
      </c>
      <c r="U89" s="147">
        <f t="shared" si="22"/>
        <v>0</v>
      </c>
      <c r="V89" s="147">
        <f t="shared" si="22"/>
        <v>0</v>
      </c>
      <c r="W89" s="147">
        <f t="shared" si="22"/>
        <v>0</v>
      </c>
      <c r="X89" s="147">
        <f t="shared" si="22"/>
        <v>0</v>
      </c>
      <c r="Y89" s="31" t="b">
        <f>'[1]GMINY'!L4=SUM('[1]GMINY'!O4:X4)</f>
        <v>1</v>
      </c>
      <c r="Z89" s="149">
        <f>ROUND('[1]GMINY'!L4/'[1]GMINY'!K4,4)</f>
        <v>0.5</v>
      </c>
      <c r="AA89" s="150" t="b">
        <f>Z89='[1]GMINY'!N4</f>
        <v>1</v>
      </c>
      <c r="AB89" s="150" t="b">
        <f>'[1]GMINY'!K4='[1]GMINY'!L4+'[1]GMINY'!M4</f>
        <v>1</v>
      </c>
    </row>
    <row r="90" spans="1:28" s="20" customFormat="1" ht="19.5" customHeight="1">
      <c r="A90" s="323" t="s">
        <v>39</v>
      </c>
      <c r="B90" s="324"/>
      <c r="C90" s="324"/>
      <c r="D90" s="324"/>
      <c r="E90" s="324"/>
      <c r="F90" s="324"/>
      <c r="G90" s="324"/>
      <c r="H90" s="325"/>
      <c r="I90" s="139">
        <f>SUMIF($C$3:$C$88,"N",I3:I88)</f>
        <v>44.16900000000001</v>
      </c>
      <c r="J90" s="140" t="s">
        <v>14</v>
      </c>
      <c r="K90" s="36">
        <f>SUMIF($C$3:$C$88,"N",K3:K88)</f>
        <v>126127092.31999996</v>
      </c>
      <c r="L90" s="36">
        <f>SUMIF($C$3:$C$88,"N",L3:L88)</f>
        <v>68479433.01</v>
      </c>
      <c r="M90" s="36">
        <f>SUMIF($C$3:$C$88,"N",M3:M88)</f>
        <v>57647659.31000001</v>
      </c>
      <c r="N90" s="141" t="s">
        <v>14</v>
      </c>
      <c r="O90" s="147">
        <f aca="true" t="shared" si="23" ref="O90:X90">SUMIF($C$3:$C$88,"N",O3:O88)</f>
        <v>0</v>
      </c>
      <c r="P90" s="147">
        <f t="shared" si="23"/>
        <v>0</v>
      </c>
      <c r="Q90" s="147">
        <f t="shared" si="23"/>
        <v>0</v>
      </c>
      <c r="R90" s="147">
        <f t="shared" si="23"/>
        <v>59578855.58</v>
      </c>
      <c r="S90" s="147">
        <f t="shared" si="23"/>
        <v>8900577.43</v>
      </c>
      <c r="T90" s="147">
        <f t="shared" si="23"/>
        <v>0</v>
      </c>
      <c r="U90" s="147">
        <f t="shared" si="23"/>
        <v>0</v>
      </c>
      <c r="V90" s="147">
        <f t="shared" si="23"/>
        <v>0</v>
      </c>
      <c r="W90" s="147">
        <f t="shared" si="23"/>
        <v>0</v>
      </c>
      <c r="X90" s="147">
        <f t="shared" si="23"/>
        <v>0</v>
      </c>
      <c r="Y90" s="31" t="b">
        <f>'[1]GMINY'!L5=SUM('[1]GMINY'!O5:X5)</f>
        <v>1</v>
      </c>
      <c r="Z90" s="149">
        <f>ROUND('[1]GMINY'!L5/'[1]GMINY'!K5,4)</f>
        <v>0.5</v>
      </c>
      <c r="AA90" s="150" t="b">
        <f>Z90='[1]GMINY'!N5</f>
        <v>1</v>
      </c>
      <c r="AB90" s="150" t="b">
        <f>'[1]GMINY'!K5='[1]GMINY'!L5+'[1]GMINY'!M5</f>
        <v>1</v>
      </c>
    </row>
    <row r="91" spans="1:28" s="20" customFormat="1" ht="19.5" customHeight="1">
      <c r="A91" s="320" t="s">
        <v>40</v>
      </c>
      <c r="B91" s="321"/>
      <c r="C91" s="321"/>
      <c r="D91" s="321"/>
      <c r="E91" s="321"/>
      <c r="F91" s="321"/>
      <c r="G91" s="321"/>
      <c r="H91" s="322"/>
      <c r="I91" s="142">
        <f>SUMIF($C$3:$C$88,"W",I3:I88)</f>
        <v>30.848999999999993</v>
      </c>
      <c r="J91" s="281" t="s">
        <v>14</v>
      </c>
      <c r="K91" s="37">
        <f>SUMIF($C$3:$C$88,"W",K3:K88)</f>
        <v>117396533.90000002</v>
      </c>
      <c r="L91" s="37">
        <f>SUMIF($C$3:$C$88,"W",L3:L88)</f>
        <v>62971240.050000004</v>
      </c>
      <c r="M91" s="37">
        <f>SUMIF($C$3:$C$88,"W",M3:M88)</f>
        <v>54425293.85000001</v>
      </c>
      <c r="N91" s="143" t="s">
        <v>14</v>
      </c>
      <c r="O91" s="148">
        <f aca="true" t="shared" si="24" ref="O91:X91">SUMIF($C$3:$C$88,"W",O3:O88)</f>
        <v>0</v>
      </c>
      <c r="P91" s="148">
        <f t="shared" si="24"/>
        <v>0</v>
      </c>
      <c r="Q91" s="148">
        <f t="shared" si="24"/>
        <v>0</v>
      </c>
      <c r="R91" s="148">
        <f t="shared" si="24"/>
        <v>11422232.275</v>
      </c>
      <c r="S91" s="148">
        <f t="shared" si="24"/>
        <v>41826574.035000004</v>
      </c>
      <c r="T91" s="148">
        <f t="shared" si="24"/>
        <v>9722433.74</v>
      </c>
      <c r="U91" s="148">
        <f t="shared" si="24"/>
        <v>0</v>
      </c>
      <c r="V91" s="148">
        <f t="shared" si="24"/>
        <v>0</v>
      </c>
      <c r="W91" s="148">
        <f t="shared" si="24"/>
        <v>0</v>
      </c>
      <c r="X91" s="148">
        <f t="shared" si="24"/>
        <v>0</v>
      </c>
      <c r="Y91" s="31" t="b">
        <f>'[1]GMINY'!L6=SUM('[1]GMINY'!O6:X6)</f>
        <v>1</v>
      </c>
      <c r="Z91" s="149">
        <f>ROUND('[1]GMINY'!L6/'[1]GMINY'!K6,4)</f>
        <v>0.6</v>
      </c>
      <c r="AA91" s="150" t="b">
        <f>Z91='[1]GMINY'!N6</f>
        <v>1</v>
      </c>
      <c r="AB91" s="150" t="b">
        <f>'[1]GMINY'!K6='[1]GMINY'!L6+'[1]GMINY'!M6</f>
        <v>1</v>
      </c>
    </row>
    <row r="92" spans="1:28" s="20" customFormat="1" ht="34.5" customHeight="1">
      <c r="A92" s="28"/>
      <c r="B92" s="27"/>
      <c r="C92" s="27"/>
      <c r="D92" s="27"/>
      <c r="E92" s="27"/>
      <c r="F92" s="27"/>
      <c r="G92" s="27"/>
      <c r="H92" s="27"/>
      <c r="I92" s="27"/>
      <c r="J92" s="144"/>
      <c r="K92" s="27"/>
      <c r="L92" s="27"/>
      <c r="M92" s="27"/>
      <c r="N92" s="144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31"/>
      <c r="Z92" s="149"/>
      <c r="AA92" s="150"/>
      <c r="AB92" s="150"/>
    </row>
    <row r="93" spans="1:28" s="20" customFormat="1" ht="16.5" customHeight="1">
      <c r="A93" s="23" t="s">
        <v>25</v>
      </c>
      <c r="B93" s="27"/>
      <c r="C93" s="27"/>
      <c r="D93" s="27"/>
      <c r="E93" s="27"/>
      <c r="F93" s="27"/>
      <c r="G93" s="27"/>
      <c r="H93" s="27"/>
      <c r="I93" s="27"/>
      <c r="J93" s="144"/>
      <c r="K93" s="27"/>
      <c r="L93" s="27"/>
      <c r="M93" s="27"/>
      <c r="N93" s="144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31"/>
      <c r="Z93" s="149"/>
      <c r="AA93" s="150"/>
      <c r="AB93" s="150"/>
    </row>
    <row r="94" spans="1:28" s="20" customFormat="1" ht="16.5" customHeight="1">
      <c r="A94" s="24" t="s">
        <v>26</v>
      </c>
      <c r="B94" s="27"/>
      <c r="C94" s="27"/>
      <c r="D94" s="27"/>
      <c r="E94" s="27"/>
      <c r="F94" s="27"/>
      <c r="G94" s="27"/>
      <c r="H94" s="27"/>
      <c r="I94" s="27"/>
      <c r="J94" s="144"/>
      <c r="K94" s="27"/>
      <c r="L94" s="27"/>
      <c r="M94" s="27"/>
      <c r="N94" s="144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31"/>
      <c r="Z94" s="149"/>
      <c r="AA94" s="150"/>
      <c r="AB94" s="150"/>
    </row>
    <row r="95" spans="1:28" s="20" customFormat="1" ht="16.5" customHeight="1">
      <c r="A95" s="23" t="s">
        <v>36</v>
      </c>
      <c r="B95" s="27"/>
      <c r="C95" s="27"/>
      <c r="D95" s="27"/>
      <c r="E95" s="27"/>
      <c r="F95" s="27"/>
      <c r="G95" s="27"/>
      <c r="H95" s="27"/>
      <c r="I95" s="27"/>
      <c r="J95" s="144"/>
      <c r="K95" s="27"/>
      <c r="L95" s="27"/>
      <c r="M95" s="27"/>
      <c r="N95" s="144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31"/>
      <c r="Z95" s="149"/>
      <c r="AA95" s="150"/>
      <c r="AB95" s="150"/>
    </row>
    <row r="96" spans="1:28" s="20" customFormat="1" ht="18.75" customHeight="1">
      <c r="A96" s="145"/>
      <c r="B96" s="27"/>
      <c r="C96" s="27"/>
      <c r="D96" s="27"/>
      <c r="E96" s="27"/>
      <c r="F96" s="27"/>
      <c r="G96" s="27"/>
      <c r="H96" s="27"/>
      <c r="I96" s="27"/>
      <c r="J96" s="144"/>
      <c r="K96" s="27"/>
      <c r="L96" s="27"/>
      <c r="M96" s="27"/>
      <c r="N96" s="144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31"/>
      <c r="Z96" s="149"/>
      <c r="AA96" s="150"/>
      <c r="AB96" s="150"/>
    </row>
    <row r="97" spans="1:28" s="20" customFormat="1" ht="13.5" customHeight="1">
      <c r="A97" s="201" t="s">
        <v>238</v>
      </c>
      <c r="B97" s="4"/>
      <c r="C97" s="4"/>
      <c r="D97" s="4"/>
      <c r="E97" s="4"/>
      <c r="F97" s="4"/>
      <c r="G97" s="27"/>
      <c r="H97" s="27"/>
      <c r="I97" s="27"/>
      <c r="J97" s="144"/>
      <c r="K97" s="27"/>
      <c r="L97" s="27"/>
      <c r="M97" s="27"/>
      <c r="N97" s="144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31"/>
      <c r="Z97" s="149"/>
      <c r="AA97" s="150"/>
      <c r="AB97" s="150"/>
    </row>
    <row r="98" spans="1:28" s="20" customFormat="1" ht="13.5" customHeight="1">
      <c r="A98" s="199" t="s">
        <v>661</v>
      </c>
      <c r="B98" s="4"/>
      <c r="C98" s="4"/>
      <c r="D98" s="4"/>
      <c r="E98" s="4"/>
      <c r="F98" s="4"/>
      <c r="G98" s="27"/>
      <c r="H98" s="27"/>
      <c r="I98" s="27"/>
      <c r="J98" s="144"/>
      <c r="K98" s="27"/>
      <c r="L98" s="27"/>
      <c r="M98" s="27"/>
      <c r="N98" s="144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31"/>
      <c r="Z98" s="149"/>
      <c r="AA98" s="150"/>
      <c r="AB98" s="150"/>
    </row>
    <row r="99" spans="1:28" s="20" customFormat="1" ht="13.5" customHeight="1">
      <c r="A99" s="4"/>
      <c r="B99" s="4"/>
      <c r="C99" s="4"/>
      <c r="D99" s="4"/>
      <c r="E99" s="4"/>
      <c r="F99" s="4"/>
      <c r="G99" s="27"/>
      <c r="H99" s="27"/>
      <c r="I99" s="27"/>
      <c r="J99" s="144"/>
      <c r="K99" s="27"/>
      <c r="L99" s="27"/>
      <c r="M99" s="27"/>
      <c r="N99" s="144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31"/>
      <c r="Z99" s="149"/>
      <c r="AA99" s="150"/>
      <c r="AB99" s="150"/>
    </row>
    <row r="100" spans="1:28" s="20" customFormat="1" ht="13.5" customHeight="1">
      <c r="A100" s="4"/>
      <c r="B100" s="4"/>
      <c r="C100" s="4"/>
      <c r="D100" s="4"/>
      <c r="E100" s="4"/>
      <c r="F100" s="4"/>
      <c r="G100" s="27"/>
      <c r="H100" s="27"/>
      <c r="I100" s="27"/>
      <c r="J100" s="144"/>
      <c r="K100" s="27"/>
      <c r="L100" s="27"/>
      <c r="M100" s="27"/>
      <c r="N100" s="144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31"/>
      <c r="Z100" s="149"/>
      <c r="AA100" s="150"/>
      <c r="AB100" s="150"/>
    </row>
    <row r="101" spans="1:28" s="20" customFormat="1" ht="13.5" customHeight="1">
      <c r="A101" s="4"/>
      <c r="B101" s="4"/>
      <c r="C101" s="4"/>
      <c r="D101" s="4"/>
      <c r="E101" s="4"/>
      <c r="F101" s="4"/>
      <c r="G101" s="27"/>
      <c r="H101" s="27"/>
      <c r="I101" s="27"/>
      <c r="J101" s="144"/>
      <c r="K101" s="27"/>
      <c r="L101" s="27"/>
      <c r="M101" s="27"/>
      <c r="N101" s="144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31"/>
      <c r="Z101" s="149"/>
      <c r="AA101" s="150"/>
      <c r="AB101" s="150"/>
    </row>
    <row r="102" spans="1:28" s="20" customFormat="1" ht="13.5" customHeight="1">
      <c r="A102" s="4"/>
      <c r="B102" s="4"/>
      <c r="C102" s="4"/>
      <c r="D102" s="4"/>
      <c r="E102" s="4"/>
      <c r="F102" s="4"/>
      <c r="G102" s="27"/>
      <c r="H102" s="27"/>
      <c r="I102" s="27"/>
      <c r="J102" s="144"/>
      <c r="K102" s="27"/>
      <c r="L102" s="27"/>
      <c r="M102" s="27"/>
      <c r="N102" s="144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31"/>
      <c r="Z102" s="149"/>
      <c r="AA102" s="150"/>
      <c r="AB102" s="150"/>
    </row>
    <row r="103" spans="1:28" s="20" customFormat="1" ht="23.25" customHeight="1">
      <c r="A103" s="27"/>
      <c r="B103" s="27"/>
      <c r="C103" s="27"/>
      <c r="D103" s="27"/>
      <c r="E103" s="27"/>
      <c r="F103" s="27"/>
      <c r="G103" s="27"/>
      <c r="H103" s="27"/>
      <c r="I103" s="27"/>
      <c r="J103" s="144"/>
      <c r="K103" s="27"/>
      <c r="L103" s="27"/>
      <c r="M103" s="27"/>
      <c r="N103" s="144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31"/>
      <c r="Z103" s="149"/>
      <c r="AA103" s="150"/>
      <c r="AB103" s="150"/>
    </row>
    <row r="104" spans="1:28" s="21" customFormat="1" ht="42" customHeight="1">
      <c r="A104" s="7"/>
      <c r="B104" s="7"/>
      <c r="C104" s="7"/>
      <c r="D104" s="7"/>
      <c r="E104" s="7"/>
      <c r="F104" s="7"/>
      <c r="G104" s="7"/>
      <c r="H104" s="7"/>
      <c r="I104" s="7"/>
      <c r="J104" s="1"/>
      <c r="K104" s="27"/>
      <c r="L104" s="7"/>
      <c r="M104" s="7"/>
      <c r="N104" s="1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58"/>
      <c r="Z104" s="59"/>
      <c r="AA104" s="60"/>
      <c r="AB104" s="60"/>
    </row>
    <row r="105" spans="1:28" s="21" customFormat="1" ht="44.25" customHeight="1">
      <c r="A105" s="7"/>
      <c r="B105" s="7"/>
      <c r="C105" s="7"/>
      <c r="D105" s="7"/>
      <c r="E105" s="7"/>
      <c r="F105" s="7"/>
      <c r="G105" s="7"/>
      <c r="H105" s="7"/>
      <c r="I105" s="7"/>
      <c r="J105" s="1"/>
      <c r="K105" s="27"/>
      <c r="L105" s="7"/>
      <c r="M105" s="7"/>
      <c r="N105" s="1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58"/>
      <c r="Z105" s="59"/>
      <c r="AA105" s="60"/>
      <c r="AB105" s="60"/>
    </row>
    <row r="106" spans="1:28" s="21" customFormat="1" ht="41.25" customHeight="1">
      <c r="A106" s="7"/>
      <c r="B106" s="7"/>
      <c r="C106" s="7"/>
      <c r="D106" s="7"/>
      <c r="E106" s="7"/>
      <c r="F106" s="7"/>
      <c r="G106" s="7"/>
      <c r="H106" s="7"/>
      <c r="I106" s="7"/>
      <c r="J106" s="1"/>
      <c r="K106" s="27"/>
      <c r="L106" s="7"/>
      <c r="M106" s="7"/>
      <c r="N106" s="1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58"/>
      <c r="Z106" s="59"/>
      <c r="AA106" s="60"/>
      <c r="AB106" s="60"/>
    </row>
    <row r="107" spans="1:28" s="21" customFormat="1" ht="34.5" customHeight="1">
      <c r="A107" s="7"/>
      <c r="B107" s="7"/>
      <c r="C107" s="7"/>
      <c r="D107" s="7"/>
      <c r="E107" s="7"/>
      <c r="F107" s="7"/>
      <c r="G107" s="7"/>
      <c r="H107" s="7"/>
      <c r="I107" s="7"/>
      <c r="J107" s="1"/>
      <c r="K107" s="27"/>
      <c r="L107" s="7"/>
      <c r="M107" s="7"/>
      <c r="N107" s="1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58"/>
      <c r="Z107" s="59"/>
      <c r="AA107" s="60"/>
      <c r="AB107" s="60"/>
    </row>
    <row r="108" spans="1:28" s="21" customFormat="1" ht="34.5" customHeight="1">
      <c r="A108" s="7"/>
      <c r="B108" s="7"/>
      <c r="C108" s="7"/>
      <c r="D108" s="7"/>
      <c r="E108" s="7"/>
      <c r="F108" s="7"/>
      <c r="G108" s="7"/>
      <c r="H108" s="7"/>
      <c r="I108" s="7"/>
      <c r="J108" s="1"/>
      <c r="K108" s="27"/>
      <c r="L108" s="7"/>
      <c r="M108" s="7"/>
      <c r="N108" s="1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58"/>
      <c r="Z108" s="59"/>
      <c r="AA108" s="60"/>
      <c r="AB108" s="60"/>
    </row>
    <row r="109" spans="1:28" s="21" customFormat="1" ht="34.5" customHeight="1">
      <c r="A109" s="7"/>
      <c r="B109" s="7"/>
      <c r="C109" s="7"/>
      <c r="D109" s="7"/>
      <c r="E109" s="7"/>
      <c r="F109" s="7"/>
      <c r="G109" s="7"/>
      <c r="H109" s="7"/>
      <c r="I109" s="7"/>
      <c r="J109" s="1"/>
      <c r="K109" s="27"/>
      <c r="L109" s="7"/>
      <c r="M109" s="7"/>
      <c r="N109" s="1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58"/>
      <c r="Z109" s="59"/>
      <c r="AA109" s="60"/>
      <c r="AB109" s="60"/>
    </row>
    <row r="110" spans="1:28" s="21" customFormat="1" ht="34.5" customHeight="1">
      <c r="A110" s="7"/>
      <c r="B110" s="7"/>
      <c r="C110" s="7"/>
      <c r="D110" s="7"/>
      <c r="E110" s="7"/>
      <c r="F110" s="7"/>
      <c r="G110" s="7"/>
      <c r="H110" s="7"/>
      <c r="I110" s="7"/>
      <c r="J110" s="1"/>
      <c r="K110" s="27"/>
      <c r="L110" s="7"/>
      <c r="M110" s="7"/>
      <c r="N110" s="1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58"/>
      <c r="Z110" s="59"/>
      <c r="AA110" s="60"/>
      <c r="AB110" s="60"/>
    </row>
    <row r="111" spans="1:28" s="21" customFormat="1" ht="34.5" customHeight="1">
      <c r="A111" s="7"/>
      <c r="B111" s="7"/>
      <c r="C111" s="7"/>
      <c r="D111" s="7"/>
      <c r="E111" s="7"/>
      <c r="F111" s="7"/>
      <c r="G111" s="7"/>
      <c r="H111" s="7"/>
      <c r="I111" s="7"/>
      <c r="J111" s="1"/>
      <c r="K111" s="27"/>
      <c r="L111" s="7"/>
      <c r="M111" s="7"/>
      <c r="N111" s="1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58"/>
      <c r="Z111" s="59"/>
      <c r="AA111" s="60"/>
      <c r="AB111" s="60"/>
    </row>
    <row r="112" spans="1:28" s="21" customFormat="1" ht="34.5" customHeight="1">
      <c r="A112" s="7"/>
      <c r="B112" s="7"/>
      <c r="C112" s="7"/>
      <c r="D112" s="7"/>
      <c r="E112" s="7"/>
      <c r="F112" s="7"/>
      <c r="G112" s="7"/>
      <c r="H112" s="7"/>
      <c r="I112" s="7"/>
      <c r="J112" s="1"/>
      <c r="K112" s="27"/>
      <c r="L112" s="7"/>
      <c r="M112" s="7"/>
      <c r="N112" s="1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58"/>
      <c r="Z112" s="59"/>
      <c r="AA112" s="60"/>
      <c r="AB112" s="60"/>
    </row>
    <row r="113" spans="1:28" s="21" customFormat="1" ht="34.5" customHeight="1">
      <c r="A113" s="7"/>
      <c r="B113" s="7"/>
      <c r="C113" s="7"/>
      <c r="D113" s="7"/>
      <c r="E113" s="7"/>
      <c r="F113" s="7"/>
      <c r="G113" s="7"/>
      <c r="H113" s="7"/>
      <c r="I113" s="7"/>
      <c r="J113" s="1"/>
      <c r="K113" s="27"/>
      <c r="L113" s="7"/>
      <c r="M113" s="7"/>
      <c r="N113" s="1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58"/>
      <c r="Z113" s="59"/>
      <c r="AA113" s="60"/>
      <c r="AB113" s="60"/>
    </row>
    <row r="114" spans="1:28" s="21" customFormat="1" ht="34.5" customHeight="1">
      <c r="A114" s="7"/>
      <c r="B114" s="7"/>
      <c r="C114" s="7"/>
      <c r="D114" s="7"/>
      <c r="E114" s="7"/>
      <c r="F114" s="7"/>
      <c r="G114" s="7"/>
      <c r="H114" s="7"/>
      <c r="I114" s="7"/>
      <c r="J114" s="1"/>
      <c r="K114" s="27"/>
      <c r="L114" s="7"/>
      <c r="M114" s="7"/>
      <c r="N114" s="1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58"/>
      <c r="Z114" s="59"/>
      <c r="AA114" s="60"/>
      <c r="AB114" s="60"/>
    </row>
    <row r="115" spans="1:28" s="21" customFormat="1" ht="34.5" customHeight="1">
      <c r="A115" s="7"/>
      <c r="B115" s="7"/>
      <c r="C115" s="7"/>
      <c r="D115" s="7"/>
      <c r="E115" s="7"/>
      <c r="F115" s="7"/>
      <c r="G115" s="7"/>
      <c r="H115" s="7"/>
      <c r="I115" s="7"/>
      <c r="J115" s="1"/>
      <c r="K115" s="27"/>
      <c r="L115" s="7"/>
      <c r="M115" s="7"/>
      <c r="N115" s="1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58"/>
      <c r="Z115" s="59"/>
      <c r="AA115" s="60"/>
      <c r="AB115" s="60"/>
    </row>
    <row r="116" spans="1:28" s="21" customFormat="1" ht="34.5" customHeight="1">
      <c r="A116" s="7"/>
      <c r="B116" s="7"/>
      <c r="C116" s="7"/>
      <c r="D116" s="7"/>
      <c r="E116" s="7"/>
      <c r="F116" s="7"/>
      <c r="G116" s="7"/>
      <c r="H116" s="7"/>
      <c r="I116" s="7"/>
      <c r="J116" s="1"/>
      <c r="K116" s="27"/>
      <c r="L116" s="7"/>
      <c r="M116" s="7"/>
      <c r="N116" s="1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58"/>
      <c r="Z116" s="59"/>
      <c r="AA116" s="60"/>
      <c r="AB116" s="60"/>
    </row>
    <row r="117" spans="1:28" s="21" customFormat="1" ht="34.5" customHeight="1">
      <c r="A117" s="7"/>
      <c r="B117" s="7"/>
      <c r="C117" s="7"/>
      <c r="D117" s="7"/>
      <c r="E117" s="7"/>
      <c r="F117" s="7"/>
      <c r="G117" s="7"/>
      <c r="H117" s="7"/>
      <c r="I117" s="7"/>
      <c r="J117" s="1"/>
      <c r="K117" s="27"/>
      <c r="L117" s="7"/>
      <c r="M117" s="7"/>
      <c r="N117" s="1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58"/>
      <c r="Z117" s="59"/>
      <c r="AA117" s="60"/>
      <c r="AB117" s="60"/>
    </row>
    <row r="118" spans="1:28" s="21" customFormat="1" ht="41.25" customHeight="1">
      <c r="A118" s="7"/>
      <c r="B118" s="7"/>
      <c r="C118" s="7"/>
      <c r="D118" s="7"/>
      <c r="E118" s="7"/>
      <c r="F118" s="7"/>
      <c r="G118" s="7"/>
      <c r="H118" s="7"/>
      <c r="I118" s="7"/>
      <c r="J118" s="1"/>
      <c r="K118" s="27"/>
      <c r="L118" s="7"/>
      <c r="M118" s="7"/>
      <c r="N118" s="1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58"/>
      <c r="Z118" s="59"/>
      <c r="AA118" s="60"/>
      <c r="AB118" s="60"/>
    </row>
    <row r="119" spans="1:28" s="21" customFormat="1" ht="34.5" customHeight="1">
      <c r="A119" s="7"/>
      <c r="B119" s="7"/>
      <c r="C119" s="7"/>
      <c r="D119" s="7"/>
      <c r="E119" s="7"/>
      <c r="F119" s="7"/>
      <c r="G119" s="7"/>
      <c r="H119" s="7"/>
      <c r="I119" s="7"/>
      <c r="J119" s="1"/>
      <c r="K119" s="27"/>
      <c r="L119" s="7"/>
      <c r="M119" s="7"/>
      <c r="N119" s="1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58"/>
      <c r="Z119" s="59"/>
      <c r="AA119" s="60"/>
      <c r="AB119" s="60"/>
    </row>
    <row r="120" spans="1:28" s="21" customFormat="1" ht="34.5" customHeight="1">
      <c r="A120" s="7"/>
      <c r="B120" s="7"/>
      <c r="C120" s="7"/>
      <c r="D120" s="7"/>
      <c r="E120" s="7"/>
      <c r="F120" s="7"/>
      <c r="G120" s="7"/>
      <c r="H120" s="7"/>
      <c r="I120" s="7"/>
      <c r="J120" s="1"/>
      <c r="K120" s="27"/>
      <c r="L120" s="7"/>
      <c r="M120" s="7"/>
      <c r="N120" s="1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58"/>
      <c r="Z120" s="59"/>
      <c r="AA120" s="60"/>
      <c r="AB120" s="60"/>
    </row>
    <row r="121" spans="1:28" s="21" customFormat="1" ht="34.5" customHeight="1">
      <c r="A121" s="7"/>
      <c r="B121" s="7"/>
      <c r="C121" s="7"/>
      <c r="D121" s="7"/>
      <c r="E121" s="7"/>
      <c r="F121" s="7"/>
      <c r="G121" s="7"/>
      <c r="H121" s="7"/>
      <c r="I121" s="7"/>
      <c r="J121" s="1"/>
      <c r="K121" s="27"/>
      <c r="L121" s="7"/>
      <c r="M121" s="7"/>
      <c r="N121" s="1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58"/>
      <c r="Z121" s="59"/>
      <c r="AA121" s="60"/>
      <c r="AB121" s="60"/>
    </row>
    <row r="122" spans="1:28" s="21" customFormat="1" ht="34.5" customHeight="1">
      <c r="A122" s="7"/>
      <c r="B122" s="7"/>
      <c r="C122" s="7"/>
      <c r="D122" s="7"/>
      <c r="E122" s="7"/>
      <c r="F122" s="7"/>
      <c r="G122" s="7"/>
      <c r="H122" s="7"/>
      <c r="I122" s="7"/>
      <c r="J122" s="1"/>
      <c r="K122" s="27"/>
      <c r="L122" s="7"/>
      <c r="M122" s="7"/>
      <c r="N122" s="1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58"/>
      <c r="Z122" s="59"/>
      <c r="AA122" s="60"/>
      <c r="AB122" s="60"/>
    </row>
    <row r="123" spans="1:28" s="21" customFormat="1" ht="34.5" customHeight="1">
      <c r="A123" s="7"/>
      <c r="B123" s="7"/>
      <c r="C123" s="7"/>
      <c r="D123" s="7"/>
      <c r="E123" s="7"/>
      <c r="F123" s="7"/>
      <c r="G123" s="7"/>
      <c r="H123" s="7"/>
      <c r="I123" s="7"/>
      <c r="J123" s="1"/>
      <c r="K123" s="27"/>
      <c r="L123" s="7"/>
      <c r="M123" s="7"/>
      <c r="N123" s="1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58"/>
      <c r="Z123" s="59"/>
      <c r="AA123" s="60"/>
      <c r="AB123" s="60"/>
    </row>
    <row r="124" spans="1:28" s="21" customFormat="1" ht="39" customHeight="1">
      <c r="A124" s="7"/>
      <c r="B124" s="7"/>
      <c r="C124" s="7"/>
      <c r="D124" s="7"/>
      <c r="E124" s="7"/>
      <c r="F124" s="7"/>
      <c r="G124" s="7"/>
      <c r="H124" s="7"/>
      <c r="I124" s="7"/>
      <c r="J124" s="1"/>
      <c r="K124" s="27"/>
      <c r="L124" s="7"/>
      <c r="M124" s="7"/>
      <c r="N124" s="1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58"/>
      <c r="Z124" s="59"/>
      <c r="AA124" s="60"/>
      <c r="AB124" s="60"/>
    </row>
    <row r="125" spans="1:28" s="21" customFormat="1" ht="34.5" customHeight="1">
      <c r="A125" s="7"/>
      <c r="B125" s="7"/>
      <c r="C125" s="7"/>
      <c r="D125" s="7"/>
      <c r="E125" s="7"/>
      <c r="F125" s="7"/>
      <c r="G125" s="7"/>
      <c r="H125" s="7"/>
      <c r="I125" s="7"/>
      <c r="J125" s="1"/>
      <c r="K125" s="27"/>
      <c r="L125" s="7"/>
      <c r="M125" s="7"/>
      <c r="N125" s="1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58"/>
      <c r="Z125" s="59"/>
      <c r="AA125" s="60"/>
      <c r="AB125" s="60"/>
    </row>
    <row r="126" spans="1:28" s="21" customFormat="1" ht="34.5" customHeight="1">
      <c r="A126" s="7"/>
      <c r="B126" s="7"/>
      <c r="C126" s="7"/>
      <c r="D126" s="7"/>
      <c r="E126" s="7"/>
      <c r="F126" s="7"/>
      <c r="G126" s="7"/>
      <c r="H126" s="7"/>
      <c r="I126" s="7"/>
      <c r="J126" s="1"/>
      <c r="K126" s="27"/>
      <c r="L126" s="7"/>
      <c r="M126" s="7"/>
      <c r="N126" s="1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58"/>
      <c r="Z126" s="59"/>
      <c r="AA126" s="60"/>
      <c r="AB126" s="60"/>
    </row>
    <row r="127" spans="1:28" s="21" customFormat="1" ht="48" customHeight="1">
      <c r="A127" s="7"/>
      <c r="B127" s="7"/>
      <c r="C127" s="7"/>
      <c r="D127" s="7"/>
      <c r="E127" s="7"/>
      <c r="F127" s="7"/>
      <c r="G127" s="7"/>
      <c r="H127" s="7"/>
      <c r="I127" s="7"/>
      <c r="J127" s="1"/>
      <c r="K127" s="27"/>
      <c r="L127" s="7"/>
      <c r="M127" s="7"/>
      <c r="N127" s="1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58"/>
      <c r="Z127" s="59"/>
      <c r="AA127" s="60"/>
      <c r="AB127" s="60"/>
    </row>
    <row r="128" spans="1:28" s="21" customFormat="1" ht="34.5" customHeight="1">
      <c r="A128" s="7"/>
      <c r="B128" s="7"/>
      <c r="C128" s="7"/>
      <c r="D128" s="7"/>
      <c r="E128" s="7"/>
      <c r="F128" s="7"/>
      <c r="G128" s="7"/>
      <c r="H128" s="7"/>
      <c r="I128" s="7"/>
      <c r="J128" s="1"/>
      <c r="K128" s="27"/>
      <c r="L128" s="7"/>
      <c r="M128" s="7"/>
      <c r="N128" s="1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58"/>
      <c r="Z128" s="59"/>
      <c r="AA128" s="60"/>
      <c r="AB128" s="60"/>
    </row>
    <row r="129" spans="1:28" s="21" customFormat="1" ht="34.5" customHeight="1">
      <c r="A129" s="7"/>
      <c r="B129" s="7"/>
      <c r="C129" s="7"/>
      <c r="D129" s="7"/>
      <c r="E129" s="7"/>
      <c r="F129" s="7"/>
      <c r="G129" s="7"/>
      <c r="H129" s="7"/>
      <c r="I129" s="7"/>
      <c r="J129" s="1"/>
      <c r="K129" s="27"/>
      <c r="L129" s="7"/>
      <c r="M129" s="7"/>
      <c r="N129" s="1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58"/>
      <c r="Z129" s="59"/>
      <c r="AA129" s="60"/>
      <c r="AB129" s="60"/>
    </row>
    <row r="130" spans="1:28" s="21" customFormat="1" ht="34.5" customHeight="1">
      <c r="A130" s="7"/>
      <c r="B130" s="7"/>
      <c r="C130" s="7"/>
      <c r="D130" s="7"/>
      <c r="E130" s="7"/>
      <c r="F130" s="7"/>
      <c r="G130" s="7"/>
      <c r="H130" s="7"/>
      <c r="I130" s="7"/>
      <c r="J130" s="1"/>
      <c r="K130" s="27"/>
      <c r="L130" s="7"/>
      <c r="M130" s="7"/>
      <c r="N130" s="1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58"/>
      <c r="Z130" s="59"/>
      <c r="AA130" s="60"/>
      <c r="AB130" s="60"/>
    </row>
    <row r="131" spans="1:28" s="21" customFormat="1" ht="34.5" customHeight="1">
      <c r="A131" s="7"/>
      <c r="B131" s="7"/>
      <c r="C131" s="7"/>
      <c r="D131" s="7"/>
      <c r="E131" s="7"/>
      <c r="F131" s="7"/>
      <c r="G131" s="7"/>
      <c r="H131" s="7"/>
      <c r="I131" s="7"/>
      <c r="J131" s="1"/>
      <c r="K131" s="27"/>
      <c r="L131" s="7"/>
      <c r="M131" s="7"/>
      <c r="N131" s="1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58"/>
      <c r="Z131" s="59"/>
      <c r="AA131" s="60"/>
      <c r="AB131" s="60"/>
    </row>
    <row r="132" spans="1:28" s="21" customFormat="1" ht="34.5" customHeight="1">
      <c r="A132" s="7"/>
      <c r="B132" s="7"/>
      <c r="C132" s="7"/>
      <c r="D132" s="7"/>
      <c r="E132" s="7"/>
      <c r="F132" s="7"/>
      <c r="G132" s="7"/>
      <c r="H132" s="7"/>
      <c r="I132" s="7"/>
      <c r="J132" s="1"/>
      <c r="K132" s="27"/>
      <c r="L132" s="7"/>
      <c r="M132" s="7"/>
      <c r="N132" s="1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58"/>
      <c r="Z132" s="59"/>
      <c r="AA132" s="60"/>
      <c r="AB132" s="60"/>
    </row>
    <row r="133" spans="1:28" s="21" customFormat="1" ht="34.5" customHeight="1">
      <c r="A133" s="7"/>
      <c r="B133" s="7"/>
      <c r="C133" s="7"/>
      <c r="D133" s="7"/>
      <c r="E133" s="7"/>
      <c r="F133" s="7"/>
      <c r="G133" s="7"/>
      <c r="H133" s="7"/>
      <c r="I133" s="7"/>
      <c r="J133" s="1"/>
      <c r="K133" s="27"/>
      <c r="L133" s="7"/>
      <c r="M133" s="7"/>
      <c r="N133" s="1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58"/>
      <c r="Z133" s="59"/>
      <c r="AA133" s="60"/>
      <c r="AB133" s="60"/>
    </row>
    <row r="134" spans="1:28" s="21" customFormat="1" ht="34.5" customHeight="1">
      <c r="A134" s="7"/>
      <c r="B134" s="7"/>
      <c r="C134" s="7"/>
      <c r="D134" s="7"/>
      <c r="E134" s="7"/>
      <c r="F134" s="7"/>
      <c r="G134" s="7"/>
      <c r="H134" s="7"/>
      <c r="I134" s="7"/>
      <c r="J134" s="1"/>
      <c r="K134" s="27"/>
      <c r="L134" s="7"/>
      <c r="M134" s="7"/>
      <c r="N134" s="1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58"/>
      <c r="Z134" s="59"/>
      <c r="AA134" s="60"/>
      <c r="AB134" s="60"/>
    </row>
    <row r="135" spans="1:28" s="21" customFormat="1" ht="34.5" customHeight="1">
      <c r="A135" s="7"/>
      <c r="B135" s="7"/>
      <c r="C135" s="7"/>
      <c r="D135" s="7"/>
      <c r="E135" s="7"/>
      <c r="F135" s="7"/>
      <c r="G135" s="7"/>
      <c r="H135" s="7"/>
      <c r="I135" s="7"/>
      <c r="J135" s="1"/>
      <c r="K135" s="27"/>
      <c r="L135" s="7"/>
      <c r="M135" s="7"/>
      <c r="N135" s="1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58"/>
      <c r="Z135" s="59"/>
      <c r="AA135" s="60"/>
      <c r="AB135" s="60"/>
    </row>
    <row r="136" spans="1:28" s="21" customFormat="1" ht="34.5" customHeight="1">
      <c r="A136" s="7"/>
      <c r="B136" s="7"/>
      <c r="C136" s="7"/>
      <c r="D136" s="7"/>
      <c r="E136" s="7"/>
      <c r="F136" s="7"/>
      <c r="G136" s="7"/>
      <c r="H136" s="7"/>
      <c r="I136" s="7"/>
      <c r="J136" s="1"/>
      <c r="K136" s="27"/>
      <c r="L136" s="7"/>
      <c r="M136" s="7"/>
      <c r="N136" s="1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58"/>
      <c r="Z136" s="59"/>
      <c r="AA136" s="60"/>
      <c r="AB136" s="60"/>
    </row>
    <row r="137" spans="1:28" s="21" customFormat="1" ht="34.5" customHeight="1">
      <c r="A137" s="7"/>
      <c r="B137" s="7"/>
      <c r="C137" s="7"/>
      <c r="D137" s="7"/>
      <c r="E137" s="7"/>
      <c r="F137" s="7"/>
      <c r="G137" s="7"/>
      <c r="H137" s="7"/>
      <c r="I137" s="7"/>
      <c r="J137" s="1"/>
      <c r="K137" s="27"/>
      <c r="L137" s="7"/>
      <c r="M137" s="7"/>
      <c r="N137" s="1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58"/>
      <c r="Z137" s="59"/>
      <c r="AA137" s="60"/>
      <c r="AB137" s="60"/>
    </row>
    <row r="138" spans="1:28" s="21" customFormat="1" ht="34.5" customHeight="1">
      <c r="A138" s="7"/>
      <c r="B138" s="7"/>
      <c r="C138" s="7"/>
      <c r="D138" s="7"/>
      <c r="E138" s="7"/>
      <c r="F138" s="7"/>
      <c r="G138" s="7"/>
      <c r="H138" s="7"/>
      <c r="I138" s="7"/>
      <c r="J138" s="1"/>
      <c r="K138" s="27"/>
      <c r="L138" s="7"/>
      <c r="M138" s="7"/>
      <c r="N138" s="1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58"/>
      <c r="Z138" s="59"/>
      <c r="AA138" s="60"/>
      <c r="AB138" s="60"/>
    </row>
    <row r="139" spans="1:28" s="21" customFormat="1" ht="34.5" customHeight="1">
      <c r="A139" s="7"/>
      <c r="B139" s="7"/>
      <c r="C139" s="7"/>
      <c r="D139" s="7"/>
      <c r="E139" s="7"/>
      <c r="F139" s="7"/>
      <c r="G139" s="7"/>
      <c r="H139" s="7"/>
      <c r="I139" s="7"/>
      <c r="J139" s="1"/>
      <c r="K139" s="27"/>
      <c r="L139" s="7"/>
      <c r="M139" s="7"/>
      <c r="N139" s="1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58"/>
      <c r="Z139" s="59"/>
      <c r="AA139" s="60"/>
      <c r="AB139" s="60"/>
    </row>
    <row r="140" spans="1:28" s="21" customFormat="1" ht="34.5" customHeight="1">
      <c r="A140" s="7"/>
      <c r="B140" s="7"/>
      <c r="C140" s="7"/>
      <c r="D140" s="7"/>
      <c r="E140" s="7"/>
      <c r="F140" s="7"/>
      <c r="G140" s="7"/>
      <c r="H140" s="7"/>
      <c r="I140" s="7"/>
      <c r="J140" s="1"/>
      <c r="K140" s="27"/>
      <c r="L140" s="7"/>
      <c r="M140" s="7"/>
      <c r="N140" s="1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58"/>
      <c r="Z140" s="59"/>
      <c r="AA140" s="60"/>
      <c r="AB140" s="60"/>
    </row>
    <row r="141" spans="1:28" s="21" customFormat="1" ht="34.5" customHeight="1">
      <c r="A141" s="7"/>
      <c r="B141" s="7"/>
      <c r="C141" s="7"/>
      <c r="D141" s="7"/>
      <c r="E141" s="7"/>
      <c r="F141" s="7"/>
      <c r="G141" s="7"/>
      <c r="H141" s="7"/>
      <c r="I141" s="7"/>
      <c r="J141" s="1"/>
      <c r="K141" s="27"/>
      <c r="L141" s="7"/>
      <c r="M141" s="7"/>
      <c r="N141" s="1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58"/>
      <c r="Z141" s="59"/>
      <c r="AA141" s="60"/>
      <c r="AB141" s="60"/>
    </row>
    <row r="142" spans="1:28" s="21" customFormat="1" ht="34.5" customHeight="1">
      <c r="A142" s="7"/>
      <c r="B142" s="7"/>
      <c r="C142" s="7"/>
      <c r="D142" s="7"/>
      <c r="E142" s="7"/>
      <c r="F142" s="7"/>
      <c r="G142" s="7"/>
      <c r="H142" s="7"/>
      <c r="I142" s="7"/>
      <c r="J142" s="1"/>
      <c r="K142" s="27"/>
      <c r="L142" s="7"/>
      <c r="M142" s="7"/>
      <c r="N142" s="1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58"/>
      <c r="Z142" s="59"/>
      <c r="AA142" s="60"/>
      <c r="AB142" s="60"/>
    </row>
    <row r="143" spans="1:28" s="21" customFormat="1" ht="34.5" customHeight="1">
      <c r="A143" s="7"/>
      <c r="B143" s="7"/>
      <c r="C143" s="7"/>
      <c r="D143" s="7"/>
      <c r="E143" s="7"/>
      <c r="F143" s="7"/>
      <c r="G143" s="7"/>
      <c r="H143" s="7"/>
      <c r="I143" s="7"/>
      <c r="J143" s="1"/>
      <c r="K143" s="27"/>
      <c r="L143" s="7"/>
      <c r="M143" s="7"/>
      <c r="N143" s="1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58"/>
      <c r="Z143" s="59"/>
      <c r="AA143" s="60"/>
      <c r="AB143" s="60"/>
    </row>
    <row r="144" spans="1:28" s="21" customFormat="1" ht="34.5" customHeight="1">
      <c r="A144" s="7"/>
      <c r="B144" s="7"/>
      <c r="C144" s="7"/>
      <c r="D144" s="7"/>
      <c r="E144" s="7"/>
      <c r="F144" s="7"/>
      <c r="G144" s="7"/>
      <c r="H144" s="7"/>
      <c r="I144" s="7"/>
      <c r="J144" s="1"/>
      <c r="K144" s="27"/>
      <c r="L144" s="7"/>
      <c r="M144" s="7"/>
      <c r="N144" s="1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58"/>
      <c r="Z144" s="59"/>
      <c r="AA144" s="60"/>
      <c r="AB144" s="60"/>
    </row>
    <row r="145" spans="1:28" s="21" customFormat="1" ht="46.5" customHeight="1">
      <c r="A145" s="7"/>
      <c r="B145" s="7"/>
      <c r="C145" s="7"/>
      <c r="D145" s="7"/>
      <c r="E145" s="7"/>
      <c r="F145" s="7"/>
      <c r="G145" s="7"/>
      <c r="H145" s="7"/>
      <c r="I145" s="7"/>
      <c r="J145" s="1"/>
      <c r="K145" s="27"/>
      <c r="L145" s="7"/>
      <c r="M145" s="7"/>
      <c r="N145" s="1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58"/>
      <c r="Z145" s="59"/>
      <c r="AA145" s="60"/>
      <c r="AB145" s="60"/>
    </row>
    <row r="146" spans="1:28" s="21" customFormat="1" ht="34.5" customHeight="1">
      <c r="A146" s="7"/>
      <c r="B146" s="7"/>
      <c r="C146" s="7"/>
      <c r="D146" s="7"/>
      <c r="E146" s="7"/>
      <c r="F146" s="7"/>
      <c r="G146" s="7"/>
      <c r="H146" s="7"/>
      <c r="I146" s="7"/>
      <c r="J146" s="1"/>
      <c r="K146" s="27"/>
      <c r="L146" s="7"/>
      <c r="M146" s="7"/>
      <c r="N146" s="1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58"/>
      <c r="Z146" s="59"/>
      <c r="AA146" s="60"/>
      <c r="AB146" s="60"/>
    </row>
    <row r="147" spans="1:28" s="21" customFormat="1" ht="34.5" customHeight="1">
      <c r="A147" s="7"/>
      <c r="B147" s="7"/>
      <c r="C147" s="7"/>
      <c r="D147" s="7"/>
      <c r="E147" s="7"/>
      <c r="F147" s="7"/>
      <c r="G147" s="7"/>
      <c r="H147" s="7"/>
      <c r="I147" s="7"/>
      <c r="J147" s="1"/>
      <c r="K147" s="27"/>
      <c r="L147" s="7"/>
      <c r="M147" s="7"/>
      <c r="N147" s="1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58"/>
      <c r="Z147" s="59"/>
      <c r="AA147" s="60"/>
      <c r="AB147" s="60"/>
    </row>
    <row r="148" spans="1:28" s="21" customFormat="1" ht="34.5" customHeight="1">
      <c r="A148" s="7"/>
      <c r="B148" s="7"/>
      <c r="C148" s="7"/>
      <c r="D148" s="7"/>
      <c r="E148" s="7"/>
      <c r="F148" s="7"/>
      <c r="G148" s="7"/>
      <c r="H148" s="7"/>
      <c r="I148" s="7"/>
      <c r="J148" s="1"/>
      <c r="K148" s="27"/>
      <c r="L148" s="7"/>
      <c r="M148" s="7"/>
      <c r="N148" s="1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58"/>
      <c r="Z148" s="59"/>
      <c r="AA148" s="60"/>
      <c r="AB148" s="60"/>
    </row>
    <row r="149" spans="1:28" s="21" customFormat="1" ht="34.5" customHeight="1">
      <c r="A149" s="7"/>
      <c r="B149" s="7"/>
      <c r="C149" s="7"/>
      <c r="D149" s="7"/>
      <c r="E149" s="7"/>
      <c r="F149" s="7"/>
      <c r="G149" s="7"/>
      <c r="H149" s="7"/>
      <c r="I149" s="7"/>
      <c r="J149" s="1"/>
      <c r="K149" s="27"/>
      <c r="L149" s="7"/>
      <c r="M149" s="7"/>
      <c r="N149" s="1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58"/>
      <c r="Z149" s="59"/>
      <c r="AA149" s="60"/>
      <c r="AB149" s="60"/>
    </row>
    <row r="150" spans="1:28" s="21" customFormat="1" ht="34.5" customHeight="1">
      <c r="A150" s="7"/>
      <c r="B150" s="7"/>
      <c r="C150" s="7"/>
      <c r="D150" s="7"/>
      <c r="E150" s="7"/>
      <c r="F150" s="7"/>
      <c r="G150" s="7"/>
      <c r="H150" s="7"/>
      <c r="I150" s="7"/>
      <c r="J150" s="1"/>
      <c r="K150" s="27"/>
      <c r="L150" s="7"/>
      <c r="M150" s="7"/>
      <c r="N150" s="1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58"/>
      <c r="Z150" s="59"/>
      <c r="AA150" s="60"/>
      <c r="AB150" s="60"/>
    </row>
    <row r="151" spans="1:28" s="21" customFormat="1" ht="34.5" customHeight="1">
      <c r="A151" s="7"/>
      <c r="B151" s="7"/>
      <c r="C151" s="7"/>
      <c r="D151" s="7"/>
      <c r="E151" s="7"/>
      <c r="F151" s="7"/>
      <c r="G151" s="7"/>
      <c r="H151" s="7"/>
      <c r="I151" s="7"/>
      <c r="J151" s="1"/>
      <c r="K151" s="27"/>
      <c r="L151" s="7"/>
      <c r="M151" s="7"/>
      <c r="N151" s="1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58"/>
      <c r="Z151" s="59"/>
      <c r="AA151" s="60"/>
      <c r="AB151" s="60"/>
    </row>
    <row r="152" spans="1:28" s="21" customFormat="1" ht="42.75" customHeight="1">
      <c r="A152" s="7"/>
      <c r="B152" s="7"/>
      <c r="C152" s="7"/>
      <c r="D152" s="7"/>
      <c r="E152" s="7"/>
      <c r="F152" s="7"/>
      <c r="G152" s="7"/>
      <c r="H152" s="7"/>
      <c r="I152" s="7"/>
      <c r="J152" s="1"/>
      <c r="K152" s="27"/>
      <c r="L152" s="7"/>
      <c r="M152" s="7"/>
      <c r="N152" s="1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58"/>
      <c r="Z152" s="59"/>
      <c r="AA152" s="60"/>
      <c r="AB152" s="60"/>
    </row>
    <row r="153" spans="1:28" s="21" customFormat="1" ht="34.5" customHeight="1">
      <c r="A153" s="7"/>
      <c r="B153" s="7"/>
      <c r="C153" s="7"/>
      <c r="D153" s="7"/>
      <c r="E153" s="7"/>
      <c r="F153" s="7"/>
      <c r="G153" s="7"/>
      <c r="H153" s="7"/>
      <c r="I153" s="7"/>
      <c r="J153" s="1"/>
      <c r="K153" s="27"/>
      <c r="L153" s="7"/>
      <c r="M153" s="7"/>
      <c r="N153" s="1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58"/>
      <c r="Z153" s="59"/>
      <c r="AA153" s="60"/>
      <c r="AB153" s="60"/>
    </row>
    <row r="154" spans="1:28" s="21" customFormat="1" ht="34.5" customHeight="1">
      <c r="A154" s="7"/>
      <c r="B154" s="7"/>
      <c r="C154" s="7"/>
      <c r="D154" s="7"/>
      <c r="E154" s="7"/>
      <c r="F154" s="7"/>
      <c r="G154" s="7"/>
      <c r="H154" s="7"/>
      <c r="I154" s="7"/>
      <c r="J154" s="1"/>
      <c r="K154" s="27"/>
      <c r="L154" s="7"/>
      <c r="M154" s="7"/>
      <c r="N154" s="1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58"/>
      <c r="Z154" s="59"/>
      <c r="AA154" s="60"/>
      <c r="AB154" s="60"/>
    </row>
    <row r="155" spans="1:28" s="21" customFormat="1" ht="34.5" customHeight="1">
      <c r="A155" s="7"/>
      <c r="B155" s="7"/>
      <c r="C155" s="7"/>
      <c r="D155" s="7"/>
      <c r="E155" s="7"/>
      <c r="F155" s="7"/>
      <c r="G155" s="7"/>
      <c r="H155" s="7"/>
      <c r="I155" s="7"/>
      <c r="J155" s="1"/>
      <c r="K155" s="27"/>
      <c r="L155" s="7"/>
      <c r="M155" s="7"/>
      <c r="N155" s="1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58"/>
      <c r="Z155" s="59"/>
      <c r="AA155" s="60"/>
      <c r="AB155" s="60"/>
    </row>
    <row r="156" spans="1:28" s="21" customFormat="1" ht="34.5" customHeight="1">
      <c r="A156" s="7"/>
      <c r="B156" s="7"/>
      <c r="C156" s="7"/>
      <c r="D156" s="7"/>
      <c r="E156" s="7"/>
      <c r="F156" s="7"/>
      <c r="G156" s="7"/>
      <c r="H156" s="7"/>
      <c r="I156" s="7"/>
      <c r="J156" s="1"/>
      <c r="K156" s="27"/>
      <c r="L156" s="7"/>
      <c r="M156" s="7"/>
      <c r="N156" s="1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58"/>
      <c r="Z156" s="59"/>
      <c r="AA156" s="60"/>
      <c r="AB156" s="60"/>
    </row>
    <row r="157" spans="1:28" s="21" customFormat="1" ht="34.5" customHeight="1">
      <c r="A157" s="7"/>
      <c r="B157" s="7"/>
      <c r="C157" s="7"/>
      <c r="D157" s="7"/>
      <c r="E157" s="7"/>
      <c r="F157" s="7"/>
      <c r="G157" s="7"/>
      <c r="H157" s="7"/>
      <c r="I157" s="7"/>
      <c r="J157" s="1"/>
      <c r="K157" s="27"/>
      <c r="L157" s="7"/>
      <c r="M157" s="7"/>
      <c r="N157" s="1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58"/>
      <c r="Z157" s="59"/>
      <c r="AA157" s="60"/>
      <c r="AB157" s="60"/>
    </row>
    <row r="158" spans="1:28" s="21" customFormat="1" ht="34.5" customHeight="1">
      <c r="A158" s="7"/>
      <c r="B158" s="7"/>
      <c r="C158" s="7"/>
      <c r="D158" s="7"/>
      <c r="E158" s="7"/>
      <c r="F158" s="7"/>
      <c r="G158" s="7"/>
      <c r="H158" s="7"/>
      <c r="I158" s="7"/>
      <c r="J158" s="1"/>
      <c r="K158" s="27"/>
      <c r="L158" s="7"/>
      <c r="M158" s="7"/>
      <c r="N158" s="1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58"/>
      <c r="Z158" s="59"/>
      <c r="AA158" s="60"/>
      <c r="AB158" s="60"/>
    </row>
    <row r="159" spans="1:28" s="21" customFormat="1" ht="34.5" customHeight="1">
      <c r="A159" s="7"/>
      <c r="B159" s="7"/>
      <c r="C159" s="7"/>
      <c r="D159" s="7"/>
      <c r="E159" s="7"/>
      <c r="F159" s="7"/>
      <c r="G159" s="7"/>
      <c r="H159" s="7"/>
      <c r="I159" s="7"/>
      <c r="J159" s="1"/>
      <c r="K159" s="27"/>
      <c r="L159" s="7"/>
      <c r="M159" s="7"/>
      <c r="N159" s="1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58"/>
      <c r="Z159" s="59"/>
      <c r="AA159" s="60"/>
      <c r="AB159" s="60"/>
    </row>
    <row r="160" spans="1:28" s="21" customFormat="1" ht="34.5" customHeight="1">
      <c r="A160" s="7"/>
      <c r="B160" s="7"/>
      <c r="C160" s="7"/>
      <c r="D160" s="7"/>
      <c r="E160" s="7"/>
      <c r="F160" s="7"/>
      <c r="G160" s="7"/>
      <c r="H160" s="7"/>
      <c r="I160" s="7"/>
      <c r="J160" s="1"/>
      <c r="K160" s="27"/>
      <c r="L160" s="7"/>
      <c r="M160" s="7"/>
      <c r="N160" s="1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58"/>
      <c r="Z160" s="59"/>
      <c r="AA160" s="60"/>
      <c r="AB160" s="60"/>
    </row>
    <row r="161" spans="1:28" s="21" customFormat="1" ht="34.5" customHeight="1">
      <c r="A161" s="7"/>
      <c r="B161" s="7"/>
      <c r="C161" s="7"/>
      <c r="D161" s="7"/>
      <c r="E161" s="7"/>
      <c r="F161" s="7"/>
      <c r="G161" s="7"/>
      <c r="H161" s="7"/>
      <c r="I161" s="7"/>
      <c r="J161" s="1"/>
      <c r="K161" s="27"/>
      <c r="L161" s="7"/>
      <c r="M161" s="7"/>
      <c r="N161" s="1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58"/>
      <c r="Z161" s="59"/>
      <c r="AA161" s="60"/>
      <c r="AB161" s="60"/>
    </row>
    <row r="162" spans="1:28" s="21" customFormat="1" ht="34.5" customHeight="1">
      <c r="A162" s="7"/>
      <c r="B162" s="7"/>
      <c r="C162" s="7"/>
      <c r="D162" s="7"/>
      <c r="E162" s="7"/>
      <c r="F162" s="7"/>
      <c r="G162" s="7"/>
      <c r="H162" s="7"/>
      <c r="I162" s="7"/>
      <c r="J162" s="1"/>
      <c r="K162" s="27"/>
      <c r="L162" s="7"/>
      <c r="M162" s="7"/>
      <c r="N162" s="1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58"/>
      <c r="Z162" s="59"/>
      <c r="AA162" s="60"/>
      <c r="AB162" s="60"/>
    </row>
    <row r="163" spans="1:28" s="21" customFormat="1" ht="34.5" customHeight="1">
      <c r="A163" s="7"/>
      <c r="B163" s="7"/>
      <c r="C163" s="7"/>
      <c r="D163" s="7"/>
      <c r="E163" s="7"/>
      <c r="F163" s="7"/>
      <c r="G163" s="7"/>
      <c r="H163" s="7"/>
      <c r="I163" s="7"/>
      <c r="J163" s="1"/>
      <c r="K163" s="27"/>
      <c r="L163" s="7"/>
      <c r="M163" s="7"/>
      <c r="N163" s="1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58"/>
      <c r="Z163" s="59"/>
      <c r="AA163" s="60"/>
      <c r="AB163" s="60"/>
    </row>
    <row r="164" spans="1:28" s="21" customFormat="1" ht="34.5" customHeight="1">
      <c r="A164" s="7"/>
      <c r="B164" s="7"/>
      <c r="C164" s="7"/>
      <c r="D164" s="7"/>
      <c r="E164" s="7"/>
      <c r="F164" s="7"/>
      <c r="G164" s="7"/>
      <c r="H164" s="7"/>
      <c r="I164" s="7"/>
      <c r="J164" s="1"/>
      <c r="K164" s="27"/>
      <c r="L164" s="7"/>
      <c r="M164" s="7"/>
      <c r="N164" s="1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58"/>
      <c r="Z164" s="59"/>
      <c r="AA164" s="60"/>
      <c r="AB164" s="60"/>
    </row>
    <row r="165" spans="1:28" s="21" customFormat="1" ht="34.5" customHeight="1">
      <c r="A165" s="7"/>
      <c r="B165" s="7"/>
      <c r="C165" s="7"/>
      <c r="D165" s="7"/>
      <c r="E165" s="7"/>
      <c r="F165" s="7"/>
      <c r="G165" s="7"/>
      <c r="H165" s="7"/>
      <c r="I165" s="7"/>
      <c r="J165" s="1"/>
      <c r="K165" s="27"/>
      <c r="L165" s="7"/>
      <c r="M165" s="7"/>
      <c r="N165" s="1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58"/>
      <c r="Z165" s="59"/>
      <c r="AA165" s="60"/>
      <c r="AB165" s="60"/>
    </row>
    <row r="166" spans="1:28" s="21" customFormat="1" ht="34.5" customHeight="1">
      <c r="A166" s="7"/>
      <c r="B166" s="7"/>
      <c r="C166" s="7"/>
      <c r="D166" s="7"/>
      <c r="E166" s="7"/>
      <c r="F166" s="7"/>
      <c r="G166" s="7"/>
      <c r="H166" s="7"/>
      <c r="I166" s="7"/>
      <c r="J166" s="1"/>
      <c r="K166" s="27"/>
      <c r="L166" s="7"/>
      <c r="M166" s="7"/>
      <c r="N166" s="1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58"/>
      <c r="Z166" s="59"/>
      <c r="AA166" s="60"/>
      <c r="AB166" s="60"/>
    </row>
    <row r="167" spans="1:28" s="21" customFormat="1" ht="34.5" customHeight="1">
      <c r="A167" s="7"/>
      <c r="B167" s="7"/>
      <c r="C167" s="7"/>
      <c r="D167" s="7"/>
      <c r="E167" s="7"/>
      <c r="F167" s="7"/>
      <c r="G167" s="7"/>
      <c r="H167" s="7"/>
      <c r="I167" s="7"/>
      <c r="J167" s="1"/>
      <c r="K167" s="27"/>
      <c r="L167" s="7"/>
      <c r="M167" s="7"/>
      <c r="N167" s="1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58"/>
      <c r="Z167" s="59"/>
      <c r="AA167" s="60"/>
      <c r="AB167" s="60"/>
    </row>
    <row r="168" spans="1:28" s="21" customFormat="1" ht="34.5" customHeight="1">
      <c r="A168" s="7"/>
      <c r="B168" s="7"/>
      <c r="C168" s="7"/>
      <c r="D168" s="7"/>
      <c r="E168" s="7"/>
      <c r="F168" s="7"/>
      <c r="G168" s="7"/>
      <c r="H168" s="7"/>
      <c r="I168" s="7"/>
      <c r="J168" s="1"/>
      <c r="K168" s="27"/>
      <c r="L168" s="7"/>
      <c r="M168" s="7"/>
      <c r="N168" s="1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58"/>
      <c r="Z168" s="59"/>
      <c r="AA168" s="60"/>
      <c r="AB168" s="60"/>
    </row>
    <row r="169" spans="1:28" s="21" customFormat="1" ht="34.5" customHeight="1">
      <c r="A169" s="7"/>
      <c r="B169" s="7"/>
      <c r="C169" s="7"/>
      <c r="D169" s="7"/>
      <c r="E169" s="7"/>
      <c r="F169" s="7"/>
      <c r="G169" s="7"/>
      <c r="H169" s="7"/>
      <c r="I169" s="7"/>
      <c r="J169" s="1"/>
      <c r="K169" s="27"/>
      <c r="L169" s="7"/>
      <c r="M169" s="7"/>
      <c r="N169" s="1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58"/>
      <c r="Z169" s="59"/>
      <c r="AA169" s="60"/>
      <c r="AB169" s="60"/>
    </row>
    <row r="170" spans="1:28" s="21" customFormat="1" ht="34.5" customHeight="1">
      <c r="A170" s="7"/>
      <c r="B170" s="7"/>
      <c r="C170" s="7"/>
      <c r="D170" s="7"/>
      <c r="E170" s="7"/>
      <c r="F170" s="7"/>
      <c r="G170" s="7"/>
      <c r="H170" s="7"/>
      <c r="I170" s="7"/>
      <c r="J170" s="1"/>
      <c r="K170" s="27"/>
      <c r="L170" s="7"/>
      <c r="M170" s="7"/>
      <c r="N170" s="1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58"/>
      <c r="Z170" s="59"/>
      <c r="AA170" s="60"/>
      <c r="AB170" s="60"/>
    </row>
    <row r="171" spans="1:28" s="21" customFormat="1" ht="34.5" customHeight="1">
      <c r="A171" s="7"/>
      <c r="B171" s="7"/>
      <c r="C171" s="7"/>
      <c r="D171" s="7"/>
      <c r="E171" s="7"/>
      <c r="F171" s="7"/>
      <c r="G171" s="7"/>
      <c r="H171" s="7"/>
      <c r="I171" s="7"/>
      <c r="J171" s="1"/>
      <c r="K171" s="27"/>
      <c r="L171" s="7"/>
      <c r="M171" s="7"/>
      <c r="N171" s="1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58"/>
      <c r="Z171" s="59"/>
      <c r="AA171" s="60"/>
      <c r="AB171" s="60"/>
    </row>
    <row r="172" spans="1:28" s="21" customFormat="1" ht="34.5" customHeight="1">
      <c r="A172" s="7"/>
      <c r="B172" s="7"/>
      <c r="C172" s="7"/>
      <c r="D172" s="7"/>
      <c r="E172" s="7"/>
      <c r="F172" s="7"/>
      <c r="G172" s="7"/>
      <c r="H172" s="7"/>
      <c r="I172" s="7"/>
      <c r="J172" s="1"/>
      <c r="K172" s="27"/>
      <c r="L172" s="7"/>
      <c r="M172" s="7"/>
      <c r="N172" s="1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58"/>
      <c r="Z172" s="59"/>
      <c r="AA172" s="60"/>
      <c r="AB172" s="60"/>
    </row>
    <row r="173" spans="1:28" s="21" customFormat="1" ht="34.5" customHeight="1">
      <c r="A173" s="7"/>
      <c r="B173" s="7"/>
      <c r="C173" s="7"/>
      <c r="D173" s="7"/>
      <c r="E173" s="7"/>
      <c r="F173" s="7"/>
      <c r="G173" s="7"/>
      <c r="H173" s="7"/>
      <c r="I173" s="7"/>
      <c r="J173" s="1"/>
      <c r="K173" s="27"/>
      <c r="L173" s="7"/>
      <c r="M173" s="7"/>
      <c r="N173" s="1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58"/>
      <c r="Z173" s="59"/>
      <c r="AA173" s="60"/>
      <c r="AB173" s="60"/>
    </row>
    <row r="174" spans="1:28" s="21" customFormat="1" ht="34.5" customHeight="1">
      <c r="A174" s="7"/>
      <c r="B174" s="7"/>
      <c r="C174" s="7"/>
      <c r="D174" s="7"/>
      <c r="E174" s="7"/>
      <c r="F174" s="7"/>
      <c r="G174" s="7"/>
      <c r="H174" s="7"/>
      <c r="I174" s="7"/>
      <c r="J174" s="1"/>
      <c r="K174" s="27"/>
      <c r="L174" s="7"/>
      <c r="M174" s="7"/>
      <c r="N174" s="1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58"/>
      <c r="Z174" s="59"/>
      <c r="AA174" s="60"/>
      <c r="AB174" s="60"/>
    </row>
    <row r="175" spans="1:28" s="21" customFormat="1" ht="34.5" customHeight="1">
      <c r="A175" s="7"/>
      <c r="B175" s="7"/>
      <c r="C175" s="7"/>
      <c r="D175" s="7"/>
      <c r="E175" s="7"/>
      <c r="F175" s="7"/>
      <c r="G175" s="7"/>
      <c r="H175" s="7"/>
      <c r="I175" s="7"/>
      <c r="J175" s="1"/>
      <c r="K175" s="27"/>
      <c r="L175" s="7"/>
      <c r="M175" s="7"/>
      <c r="N175" s="1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58"/>
      <c r="Z175" s="59"/>
      <c r="AA175" s="60"/>
      <c r="AB175" s="60"/>
    </row>
    <row r="176" spans="1:28" s="21" customFormat="1" ht="34.5" customHeight="1">
      <c r="A176" s="7"/>
      <c r="B176" s="7"/>
      <c r="C176" s="7"/>
      <c r="D176" s="7"/>
      <c r="E176" s="7"/>
      <c r="F176" s="7"/>
      <c r="G176" s="7"/>
      <c r="H176" s="7"/>
      <c r="I176" s="7"/>
      <c r="J176" s="1"/>
      <c r="K176" s="27"/>
      <c r="L176" s="7"/>
      <c r="M176" s="7"/>
      <c r="N176" s="1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58"/>
      <c r="Z176" s="59"/>
      <c r="AA176" s="60"/>
      <c r="AB176" s="60"/>
    </row>
    <row r="177" spans="1:28" s="21" customFormat="1" ht="34.5" customHeight="1">
      <c r="A177" s="7"/>
      <c r="B177" s="7"/>
      <c r="C177" s="7"/>
      <c r="D177" s="7"/>
      <c r="E177" s="7"/>
      <c r="F177" s="7"/>
      <c r="G177" s="7"/>
      <c r="H177" s="7"/>
      <c r="I177" s="7"/>
      <c r="J177" s="1"/>
      <c r="K177" s="27"/>
      <c r="L177" s="7"/>
      <c r="M177" s="7"/>
      <c r="N177" s="1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58"/>
      <c r="Z177" s="59"/>
      <c r="AA177" s="60"/>
      <c r="AB177" s="60"/>
    </row>
    <row r="178" spans="1:28" s="21" customFormat="1" ht="34.5" customHeight="1">
      <c r="A178" s="7"/>
      <c r="B178" s="7"/>
      <c r="C178" s="7"/>
      <c r="D178" s="7"/>
      <c r="E178" s="7"/>
      <c r="F178" s="7"/>
      <c r="G178" s="7"/>
      <c r="H178" s="7"/>
      <c r="I178" s="7"/>
      <c r="J178" s="1"/>
      <c r="K178" s="27"/>
      <c r="L178" s="7"/>
      <c r="M178" s="7"/>
      <c r="N178" s="1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58"/>
      <c r="Z178" s="59"/>
      <c r="AA178" s="60"/>
      <c r="AB178" s="60"/>
    </row>
    <row r="179" spans="1:28" s="21" customFormat="1" ht="34.5" customHeight="1">
      <c r="A179" s="7"/>
      <c r="B179" s="7"/>
      <c r="C179" s="7"/>
      <c r="D179" s="7"/>
      <c r="E179" s="7"/>
      <c r="F179" s="7"/>
      <c r="G179" s="7"/>
      <c r="H179" s="7"/>
      <c r="I179" s="7"/>
      <c r="J179" s="1"/>
      <c r="K179" s="27"/>
      <c r="L179" s="7"/>
      <c r="M179" s="7"/>
      <c r="N179" s="1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58"/>
      <c r="Z179" s="59"/>
      <c r="AA179" s="60"/>
      <c r="AB179" s="60"/>
    </row>
    <row r="180" spans="1:28" s="21" customFormat="1" ht="34.5" customHeight="1">
      <c r="A180" s="7"/>
      <c r="B180" s="7"/>
      <c r="C180" s="7"/>
      <c r="D180" s="7"/>
      <c r="E180" s="7"/>
      <c r="F180" s="7"/>
      <c r="G180" s="7"/>
      <c r="H180" s="7"/>
      <c r="I180" s="7"/>
      <c r="J180" s="1"/>
      <c r="K180" s="27"/>
      <c r="L180" s="7"/>
      <c r="M180" s="7"/>
      <c r="N180" s="1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58"/>
      <c r="Z180" s="59"/>
      <c r="AA180" s="60"/>
      <c r="AB180" s="60"/>
    </row>
    <row r="181" spans="1:28" s="21" customFormat="1" ht="34.5" customHeight="1">
      <c r="A181" s="7"/>
      <c r="B181" s="7"/>
      <c r="C181" s="7"/>
      <c r="D181" s="7"/>
      <c r="E181" s="7"/>
      <c r="F181" s="7"/>
      <c r="G181" s="7"/>
      <c r="H181" s="7"/>
      <c r="I181" s="7"/>
      <c r="J181" s="1"/>
      <c r="K181" s="27"/>
      <c r="L181" s="7"/>
      <c r="M181" s="7"/>
      <c r="N181" s="1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58"/>
      <c r="Z181" s="59"/>
      <c r="AA181" s="60"/>
      <c r="AB181" s="60"/>
    </row>
    <row r="182" spans="1:28" s="21" customFormat="1" ht="34.5" customHeight="1">
      <c r="A182" s="7"/>
      <c r="B182" s="7"/>
      <c r="C182" s="7"/>
      <c r="D182" s="7"/>
      <c r="E182" s="7"/>
      <c r="F182" s="7"/>
      <c r="G182" s="7"/>
      <c r="H182" s="7"/>
      <c r="I182" s="7"/>
      <c r="J182" s="1"/>
      <c r="K182" s="27"/>
      <c r="L182" s="7"/>
      <c r="M182" s="7"/>
      <c r="N182" s="1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58"/>
      <c r="Z182" s="59"/>
      <c r="AA182" s="60"/>
      <c r="AB182" s="60"/>
    </row>
    <row r="183" spans="1:28" s="21" customFormat="1" ht="34.5" customHeight="1">
      <c r="A183" s="7"/>
      <c r="B183" s="7"/>
      <c r="C183" s="7"/>
      <c r="D183" s="7"/>
      <c r="E183" s="7"/>
      <c r="F183" s="7"/>
      <c r="G183" s="7"/>
      <c r="H183" s="7"/>
      <c r="I183" s="7"/>
      <c r="J183" s="1"/>
      <c r="K183" s="27"/>
      <c r="L183" s="7"/>
      <c r="M183" s="7"/>
      <c r="N183" s="1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58"/>
      <c r="Z183" s="59"/>
      <c r="AA183" s="60"/>
      <c r="AB183" s="60"/>
    </row>
    <row r="184" spans="1:28" s="21" customFormat="1" ht="34.5" customHeight="1">
      <c r="A184" s="7"/>
      <c r="B184" s="7"/>
      <c r="C184" s="7"/>
      <c r="D184" s="7"/>
      <c r="E184" s="7"/>
      <c r="F184" s="7"/>
      <c r="G184" s="7"/>
      <c r="H184" s="7"/>
      <c r="I184" s="7"/>
      <c r="J184" s="1"/>
      <c r="K184" s="27"/>
      <c r="L184" s="7"/>
      <c r="M184" s="7"/>
      <c r="N184" s="1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58"/>
      <c r="Z184" s="59"/>
      <c r="AA184" s="60"/>
      <c r="AB184" s="60"/>
    </row>
    <row r="185" spans="1:28" s="21" customFormat="1" ht="34.5" customHeight="1">
      <c r="A185" s="7"/>
      <c r="B185" s="7"/>
      <c r="C185" s="7"/>
      <c r="D185" s="7"/>
      <c r="E185" s="7"/>
      <c r="F185" s="7"/>
      <c r="G185" s="7"/>
      <c r="H185" s="7"/>
      <c r="I185" s="7"/>
      <c r="J185" s="1"/>
      <c r="K185" s="27"/>
      <c r="L185" s="7"/>
      <c r="M185" s="7"/>
      <c r="N185" s="1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58"/>
      <c r="Z185" s="59"/>
      <c r="AA185" s="60"/>
      <c r="AB185" s="60"/>
    </row>
    <row r="186" spans="1:28" s="21" customFormat="1" ht="34.5" customHeight="1">
      <c r="A186" s="7"/>
      <c r="B186" s="7"/>
      <c r="C186" s="7"/>
      <c r="D186" s="7"/>
      <c r="E186" s="7"/>
      <c r="F186" s="7"/>
      <c r="G186" s="7"/>
      <c r="H186" s="7"/>
      <c r="I186" s="7"/>
      <c r="J186" s="1"/>
      <c r="K186" s="27"/>
      <c r="L186" s="7"/>
      <c r="M186" s="7"/>
      <c r="N186" s="1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58"/>
      <c r="Z186" s="59"/>
      <c r="AA186" s="60"/>
      <c r="AB186" s="60"/>
    </row>
    <row r="187" spans="1:28" s="21" customFormat="1" ht="34.5" customHeight="1">
      <c r="A187" s="7"/>
      <c r="B187" s="7"/>
      <c r="C187" s="7"/>
      <c r="D187" s="7"/>
      <c r="E187" s="7"/>
      <c r="F187" s="7"/>
      <c r="G187" s="7"/>
      <c r="H187" s="7"/>
      <c r="I187" s="7"/>
      <c r="J187" s="1"/>
      <c r="K187" s="27"/>
      <c r="L187" s="7"/>
      <c r="M187" s="7"/>
      <c r="N187" s="1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58"/>
      <c r="Z187" s="59"/>
      <c r="AA187" s="60"/>
      <c r="AB187" s="60"/>
    </row>
    <row r="188" spans="1:28" s="21" customFormat="1" ht="34.5" customHeight="1">
      <c r="A188" s="7"/>
      <c r="B188" s="7"/>
      <c r="C188" s="7"/>
      <c r="D188" s="7"/>
      <c r="E188" s="7"/>
      <c r="F188" s="7"/>
      <c r="G188" s="7"/>
      <c r="H188" s="7"/>
      <c r="I188" s="7"/>
      <c r="J188" s="1"/>
      <c r="K188" s="27"/>
      <c r="L188" s="7"/>
      <c r="M188" s="7"/>
      <c r="N188" s="1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58"/>
      <c r="Z188" s="59"/>
      <c r="AA188" s="60"/>
      <c r="AB188" s="60"/>
    </row>
    <row r="189" spans="1:28" s="21" customFormat="1" ht="34.5" customHeight="1">
      <c r="A189" s="7"/>
      <c r="B189" s="7"/>
      <c r="C189" s="7"/>
      <c r="D189" s="7"/>
      <c r="E189" s="7"/>
      <c r="F189" s="7"/>
      <c r="G189" s="7"/>
      <c r="H189" s="7"/>
      <c r="I189" s="7"/>
      <c r="J189" s="1"/>
      <c r="K189" s="27"/>
      <c r="L189" s="7"/>
      <c r="M189" s="7"/>
      <c r="N189" s="1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58"/>
      <c r="Z189" s="59"/>
      <c r="AA189" s="60"/>
      <c r="AB189" s="60"/>
    </row>
    <row r="190" spans="1:28" s="21" customFormat="1" ht="34.5" customHeight="1">
      <c r="A190" s="7"/>
      <c r="B190" s="7"/>
      <c r="C190" s="7"/>
      <c r="D190" s="7"/>
      <c r="E190" s="7"/>
      <c r="F190" s="7"/>
      <c r="G190" s="7"/>
      <c r="H190" s="7"/>
      <c r="I190" s="7"/>
      <c r="J190" s="1"/>
      <c r="K190" s="27"/>
      <c r="L190" s="7"/>
      <c r="M190" s="7"/>
      <c r="N190" s="1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58"/>
      <c r="Z190" s="59"/>
      <c r="AA190" s="60"/>
      <c r="AB190" s="60"/>
    </row>
    <row r="191" spans="1:28" s="21" customFormat="1" ht="34.5" customHeight="1">
      <c r="A191" s="7"/>
      <c r="B191" s="7"/>
      <c r="C191" s="7"/>
      <c r="D191" s="7"/>
      <c r="E191" s="7"/>
      <c r="F191" s="7"/>
      <c r="G191" s="7"/>
      <c r="H191" s="7"/>
      <c r="I191" s="7"/>
      <c r="J191" s="1"/>
      <c r="K191" s="27"/>
      <c r="L191" s="7"/>
      <c r="M191" s="7"/>
      <c r="N191" s="1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58"/>
      <c r="Z191" s="59"/>
      <c r="AA191" s="60"/>
      <c r="AB191" s="60"/>
    </row>
    <row r="192" spans="1:28" s="21" customFormat="1" ht="34.5" customHeight="1">
      <c r="A192" s="7"/>
      <c r="B192" s="7"/>
      <c r="C192" s="7"/>
      <c r="D192" s="7"/>
      <c r="E192" s="7"/>
      <c r="F192" s="7"/>
      <c r="G192" s="7"/>
      <c r="H192" s="7"/>
      <c r="I192" s="7"/>
      <c r="J192" s="1"/>
      <c r="K192" s="27"/>
      <c r="L192" s="7"/>
      <c r="M192" s="7"/>
      <c r="N192" s="1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58"/>
      <c r="Z192" s="59"/>
      <c r="AA192" s="60"/>
      <c r="AB192" s="60"/>
    </row>
    <row r="193" spans="1:28" s="21" customFormat="1" ht="34.5" customHeight="1">
      <c r="A193" s="7"/>
      <c r="B193" s="7"/>
      <c r="C193" s="7"/>
      <c r="D193" s="7"/>
      <c r="E193" s="7"/>
      <c r="F193" s="7"/>
      <c r="G193" s="7"/>
      <c r="H193" s="7"/>
      <c r="I193" s="7"/>
      <c r="J193" s="1"/>
      <c r="K193" s="27"/>
      <c r="L193" s="7"/>
      <c r="M193" s="7"/>
      <c r="N193" s="1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58"/>
      <c r="Z193" s="59"/>
      <c r="AA193" s="60"/>
      <c r="AB193" s="60"/>
    </row>
    <row r="194" spans="1:28" s="21" customFormat="1" ht="34.5" customHeight="1">
      <c r="A194" s="7"/>
      <c r="B194" s="7"/>
      <c r="C194" s="7"/>
      <c r="D194" s="7"/>
      <c r="E194" s="7"/>
      <c r="F194" s="7"/>
      <c r="G194" s="7"/>
      <c r="H194" s="7"/>
      <c r="I194" s="7"/>
      <c r="J194" s="1"/>
      <c r="K194" s="27"/>
      <c r="L194" s="7"/>
      <c r="M194" s="7"/>
      <c r="N194" s="1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58"/>
      <c r="Z194" s="59"/>
      <c r="AA194" s="60"/>
      <c r="AB194" s="60"/>
    </row>
    <row r="195" spans="1:28" s="21" customFormat="1" ht="34.5" customHeight="1">
      <c r="A195" s="7"/>
      <c r="B195" s="7"/>
      <c r="C195" s="7"/>
      <c r="D195" s="7"/>
      <c r="E195" s="7"/>
      <c r="F195" s="7"/>
      <c r="G195" s="7"/>
      <c r="H195" s="7"/>
      <c r="I195" s="7"/>
      <c r="J195" s="1"/>
      <c r="K195" s="27"/>
      <c r="L195" s="7"/>
      <c r="M195" s="7"/>
      <c r="N195" s="1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58"/>
      <c r="Z195" s="59"/>
      <c r="AA195" s="60"/>
      <c r="AB195" s="60"/>
    </row>
    <row r="196" spans="1:28" s="21" customFormat="1" ht="34.5" customHeight="1">
      <c r="A196" s="7"/>
      <c r="B196" s="7"/>
      <c r="C196" s="7"/>
      <c r="D196" s="7"/>
      <c r="E196" s="7"/>
      <c r="F196" s="7"/>
      <c r="G196" s="7"/>
      <c r="H196" s="7"/>
      <c r="I196" s="7"/>
      <c r="J196" s="1"/>
      <c r="K196" s="27"/>
      <c r="L196" s="7"/>
      <c r="M196" s="7"/>
      <c r="N196" s="1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58"/>
      <c r="Z196" s="59"/>
      <c r="AA196" s="60"/>
      <c r="AB196" s="60"/>
    </row>
    <row r="197" spans="1:28" s="21" customFormat="1" ht="34.5" customHeight="1">
      <c r="A197" s="7"/>
      <c r="B197" s="7"/>
      <c r="C197" s="7"/>
      <c r="D197" s="7"/>
      <c r="E197" s="7"/>
      <c r="F197" s="7"/>
      <c r="G197" s="7"/>
      <c r="H197" s="7"/>
      <c r="I197" s="7"/>
      <c r="J197" s="1"/>
      <c r="K197" s="27"/>
      <c r="L197" s="7"/>
      <c r="M197" s="7"/>
      <c r="N197" s="1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58"/>
      <c r="Z197" s="59"/>
      <c r="AA197" s="60"/>
      <c r="AB197" s="60"/>
    </row>
    <row r="198" spans="1:28" s="21" customFormat="1" ht="34.5" customHeight="1">
      <c r="A198" s="7"/>
      <c r="B198" s="7"/>
      <c r="C198" s="7"/>
      <c r="D198" s="7"/>
      <c r="E198" s="7"/>
      <c r="F198" s="7"/>
      <c r="G198" s="7"/>
      <c r="H198" s="7"/>
      <c r="I198" s="7"/>
      <c r="J198" s="1"/>
      <c r="K198" s="27"/>
      <c r="L198" s="7"/>
      <c r="M198" s="7"/>
      <c r="N198" s="1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58"/>
      <c r="Z198" s="59"/>
      <c r="AA198" s="60"/>
      <c r="AB198" s="60"/>
    </row>
    <row r="199" spans="1:28" s="21" customFormat="1" ht="34.5" customHeight="1">
      <c r="A199" s="7"/>
      <c r="B199" s="7"/>
      <c r="C199" s="7"/>
      <c r="D199" s="7"/>
      <c r="E199" s="7"/>
      <c r="F199" s="7"/>
      <c r="G199" s="7"/>
      <c r="H199" s="7"/>
      <c r="I199" s="7"/>
      <c r="J199" s="1"/>
      <c r="K199" s="27"/>
      <c r="L199" s="7"/>
      <c r="M199" s="7"/>
      <c r="N199" s="1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58"/>
      <c r="Z199" s="59"/>
      <c r="AA199" s="60"/>
      <c r="AB199" s="60"/>
    </row>
    <row r="200" spans="1:28" s="21" customFormat="1" ht="34.5" customHeight="1">
      <c r="A200" s="7"/>
      <c r="B200" s="7"/>
      <c r="C200" s="7"/>
      <c r="D200" s="7"/>
      <c r="E200" s="7"/>
      <c r="F200" s="7"/>
      <c r="G200" s="7"/>
      <c r="H200" s="7"/>
      <c r="I200" s="7"/>
      <c r="J200" s="1"/>
      <c r="K200" s="27"/>
      <c r="L200" s="7"/>
      <c r="M200" s="7"/>
      <c r="N200" s="1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58"/>
      <c r="Z200" s="59"/>
      <c r="AA200" s="60"/>
      <c r="AB200" s="60"/>
    </row>
    <row r="201" spans="1:28" s="21" customFormat="1" ht="34.5" customHeight="1">
      <c r="A201" s="7"/>
      <c r="B201" s="7"/>
      <c r="C201" s="7"/>
      <c r="D201" s="7"/>
      <c r="E201" s="7"/>
      <c r="F201" s="7"/>
      <c r="G201" s="7"/>
      <c r="H201" s="7"/>
      <c r="I201" s="7"/>
      <c r="J201" s="1"/>
      <c r="K201" s="27"/>
      <c r="L201" s="7"/>
      <c r="M201" s="7"/>
      <c r="N201" s="1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58"/>
      <c r="Z201" s="59"/>
      <c r="AA201" s="60"/>
      <c r="AB201" s="60"/>
    </row>
    <row r="202" spans="1:28" s="21" customFormat="1" ht="34.5" customHeight="1">
      <c r="A202" s="7"/>
      <c r="B202" s="7"/>
      <c r="C202" s="7"/>
      <c r="D202" s="7"/>
      <c r="E202" s="7"/>
      <c r="F202" s="7"/>
      <c r="G202" s="7"/>
      <c r="H202" s="7"/>
      <c r="I202" s="7"/>
      <c r="J202" s="1"/>
      <c r="K202" s="27"/>
      <c r="L202" s="7"/>
      <c r="M202" s="7"/>
      <c r="N202" s="1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58"/>
      <c r="Z202" s="59"/>
      <c r="AA202" s="60"/>
      <c r="AB202" s="60"/>
    </row>
    <row r="203" spans="1:28" s="21" customFormat="1" ht="34.5" customHeight="1">
      <c r="A203" s="7"/>
      <c r="B203" s="7"/>
      <c r="C203" s="7"/>
      <c r="D203" s="7"/>
      <c r="E203" s="7"/>
      <c r="F203" s="7"/>
      <c r="G203" s="7"/>
      <c r="H203" s="7"/>
      <c r="I203" s="7"/>
      <c r="J203" s="1"/>
      <c r="K203" s="27"/>
      <c r="L203" s="7"/>
      <c r="M203" s="7"/>
      <c r="N203" s="1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58"/>
      <c r="Z203" s="59"/>
      <c r="AA203" s="60"/>
      <c r="AB203" s="60"/>
    </row>
    <row r="204" spans="1:28" s="21" customFormat="1" ht="34.5" customHeight="1">
      <c r="A204" s="7"/>
      <c r="B204" s="7"/>
      <c r="C204" s="7"/>
      <c r="D204" s="7"/>
      <c r="E204" s="7"/>
      <c r="F204" s="7"/>
      <c r="G204" s="7"/>
      <c r="H204" s="7"/>
      <c r="I204" s="7"/>
      <c r="J204" s="1"/>
      <c r="K204" s="27"/>
      <c r="L204" s="7"/>
      <c r="M204" s="7"/>
      <c r="N204" s="1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58"/>
      <c r="Z204" s="59"/>
      <c r="AA204" s="60"/>
      <c r="AB204" s="60"/>
    </row>
    <row r="205" spans="1:28" s="21" customFormat="1" ht="34.5" customHeight="1">
      <c r="A205" s="7"/>
      <c r="B205" s="7"/>
      <c r="C205" s="7"/>
      <c r="D205" s="7"/>
      <c r="E205" s="7"/>
      <c r="F205" s="7"/>
      <c r="G205" s="7"/>
      <c r="H205" s="7"/>
      <c r="I205" s="7"/>
      <c r="J205" s="1"/>
      <c r="K205" s="27"/>
      <c r="L205" s="7"/>
      <c r="M205" s="7"/>
      <c r="N205" s="1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58"/>
      <c r="Z205" s="59"/>
      <c r="AA205" s="60"/>
      <c r="AB205" s="60"/>
    </row>
    <row r="206" spans="1:28" s="21" customFormat="1" ht="34.5" customHeight="1">
      <c r="A206" s="7"/>
      <c r="B206" s="7"/>
      <c r="C206" s="7"/>
      <c r="D206" s="7"/>
      <c r="E206" s="7"/>
      <c r="F206" s="7"/>
      <c r="G206" s="7"/>
      <c r="H206" s="7"/>
      <c r="I206" s="7"/>
      <c r="J206" s="1"/>
      <c r="K206" s="27"/>
      <c r="L206" s="7"/>
      <c r="M206" s="7"/>
      <c r="N206" s="1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58"/>
      <c r="Z206" s="59"/>
      <c r="AA206" s="60"/>
      <c r="AB206" s="60"/>
    </row>
    <row r="207" spans="1:28" s="21" customFormat="1" ht="34.5" customHeight="1">
      <c r="A207" s="7"/>
      <c r="B207" s="7"/>
      <c r="C207" s="7"/>
      <c r="D207" s="7"/>
      <c r="E207" s="7"/>
      <c r="F207" s="7"/>
      <c r="G207" s="7"/>
      <c r="H207" s="7"/>
      <c r="I207" s="7"/>
      <c r="J207" s="1"/>
      <c r="K207" s="27"/>
      <c r="L207" s="7"/>
      <c r="M207" s="7"/>
      <c r="N207" s="1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58"/>
      <c r="Z207" s="59"/>
      <c r="AA207" s="60"/>
      <c r="AB207" s="60"/>
    </row>
    <row r="208" spans="1:28" s="21" customFormat="1" ht="34.5" customHeight="1">
      <c r="A208" s="7"/>
      <c r="B208" s="7"/>
      <c r="C208" s="7"/>
      <c r="D208" s="7"/>
      <c r="E208" s="7"/>
      <c r="F208" s="7"/>
      <c r="G208" s="7"/>
      <c r="H208" s="7"/>
      <c r="I208" s="7"/>
      <c r="J208" s="1"/>
      <c r="K208" s="27"/>
      <c r="L208" s="7"/>
      <c r="M208" s="7"/>
      <c r="N208" s="1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58"/>
      <c r="Z208" s="59"/>
      <c r="AA208" s="60"/>
      <c r="AB208" s="60"/>
    </row>
    <row r="209" spans="1:28" s="21" customFormat="1" ht="34.5" customHeight="1">
      <c r="A209" s="7"/>
      <c r="B209" s="7"/>
      <c r="C209" s="7"/>
      <c r="D209" s="7"/>
      <c r="E209" s="7"/>
      <c r="F209" s="7"/>
      <c r="G209" s="7"/>
      <c r="H209" s="7"/>
      <c r="I209" s="7"/>
      <c r="J209" s="1"/>
      <c r="K209" s="27"/>
      <c r="L209" s="7"/>
      <c r="M209" s="7"/>
      <c r="N209" s="1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58"/>
      <c r="Z209" s="59"/>
      <c r="AA209" s="60"/>
      <c r="AB209" s="60"/>
    </row>
    <row r="210" spans="1:28" s="21" customFormat="1" ht="34.5" customHeight="1">
      <c r="A210" s="7"/>
      <c r="B210" s="7"/>
      <c r="C210" s="7"/>
      <c r="D210" s="7"/>
      <c r="E210" s="7"/>
      <c r="F210" s="7"/>
      <c r="G210" s="7"/>
      <c r="H210" s="7"/>
      <c r="I210" s="7"/>
      <c r="J210" s="1"/>
      <c r="K210" s="27"/>
      <c r="L210" s="7"/>
      <c r="M210" s="7"/>
      <c r="N210" s="1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58"/>
      <c r="Z210" s="59"/>
      <c r="AA210" s="60"/>
      <c r="AB210" s="60"/>
    </row>
    <row r="211" spans="1:28" s="21" customFormat="1" ht="34.5" customHeight="1">
      <c r="A211" s="7"/>
      <c r="B211" s="7"/>
      <c r="C211" s="7"/>
      <c r="D211" s="7"/>
      <c r="E211" s="7"/>
      <c r="F211" s="7"/>
      <c r="G211" s="7"/>
      <c r="H211" s="7"/>
      <c r="I211" s="7"/>
      <c r="J211" s="1"/>
      <c r="K211" s="27"/>
      <c r="L211" s="7"/>
      <c r="M211" s="7"/>
      <c r="N211" s="1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58"/>
      <c r="Z211" s="59"/>
      <c r="AA211" s="60"/>
      <c r="AB211" s="60"/>
    </row>
    <row r="212" spans="1:28" s="21" customFormat="1" ht="34.5" customHeight="1">
      <c r="A212" s="7"/>
      <c r="B212" s="7"/>
      <c r="C212" s="7"/>
      <c r="D212" s="7"/>
      <c r="E212" s="7"/>
      <c r="F212" s="7"/>
      <c r="G212" s="7"/>
      <c r="H212" s="7"/>
      <c r="I212" s="7"/>
      <c r="J212" s="1"/>
      <c r="K212" s="27"/>
      <c r="L212" s="7"/>
      <c r="M212" s="7"/>
      <c r="N212" s="1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58"/>
      <c r="Z212" s="59"/>
      <c r="AA212" s="60"/>
      <c r="AB212" s="60"/>
    </row>
    <row r="213" spans="1:28" s="21" customFormat="1" ht="34.5" customHeight="1">
      <c r="A213" s="7"/>
      <c r="B213" s="7"/>
      <c r="C213" s="7"/>
      <c r="D213" s="7"/>
      <c r="E213" s="7"/>
      <c r="F213" s="7"/>
      <c r="G213" s="7"/>
      <c r="H213" s="7"/>
      <c r="I213" s="7"/>
      <c r="J213" s="1"/>
      <c r="K213" s="27"/>
      <c r="L213" s="7"/>
      <c r="M213" s="7"/>
      <c r="N213" s="1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58"/>
      <c r="Z213" s="59"/>
      <c r="AA213" s="60"/>
      <c r="AB213" s="60"/>
    </row>
    <row r="214" spans="1:28" s="21" customFormat="1" ht="34.5" customHeight="1">
      <c r="A214" s="7"/>
      <c r="B214" s="7"/>
      <c r="C214" s="7"/>
      <c r="D214" s="7"/>
      <c r="E214" s="7"/>
      <c r="F214" s="7"/>
      <c r="G214" s="7"/>
      <c r="H214" s="7"/>
      <c r="I214" s="7"/>
      <c r="J214" s="1"/>
      <c r="K214" s="27"/>
      <c r="L214" s="7"/>
      <c r="M214" s="7"/>
      <c r="N214" s="1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58"/>
      <c r="Z214" s="59"/>
      <c r="AA214" s="60"/>
      <c r="AB214" s="60"/>
    </row>
    <row r="215" spans="1:28" s="21" customFormat="1" ht="34.5" customHeight="1">
      <c r="A215" s="7"/>
      <c r="B215" s="7"/>
      <c r="C215" s="7"/>
      <c r="D215" s="7"/>
      <c r="E215" s="7"/>
      <c r="F215" s="7"/>
      <c r="G215" s="7"/>
      <c r="H215" s="7"/>
      <c r="I215" s="7"/>
      <c r="J215" s="1"/>
      <c r="K215" s="27"/>
      <c r="L215" s="7"/>
      <c r="M215" s="7"/>
      <c r="N215" s="1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58"/>
      <c r="Z215" s="59"/>
      <c r="AA215" s="60"/>
      <c r="AB215" s="60"/>
    </row>
    <row r="216" spans="1:28" s="21" customFormat="1" ht="34.5" customHeight="1">
      <c r="A216" s="7"/>
      <c r="B216" s="7"/>
      <c r="C216" s="7"/>
      <c r="D216" s="7"/>
      <c r="E216" s="7"/>
      <c r="F216" s="7"/>
      <c r="G216" s="7"/>
      <c r="H216" s="7"/>
      <c r="I216" s="7"/>
      <c r="J216" s="1"/>
      <c r="K216" s="27"/>
      <c r="L216" s="7"/>
      <c r="M216" s="7"/>
      <c r="N216" s="1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58"/>
      <c r="Z216" s="59"/>
      <c r="AA216" s="60"/>
      <c r="AB216" s="60"/>
    </row>
    <row r="217" spans="1:28" s="21" customFormat="1" ht="34.5" customHeight="1">
      <c r="A217" s="7"/>
      <c r="B217" s="7"/>
      <c r="C217" s="7"/>
      <c r="D217" s="7"/>
      <c r="E217" s="7"/>
      <c r="F217" s="7"/>
      <c r="G217" s="7"/>
      <c r="H217" s="7"/>
      <c r="I217" s="7"/>
      <c r="J217" s="1"/>
      <c r="K217" s="27"/>
      <c r="L217" s="7"/>
      <c r="M217" s="7"/>
      <c r="N217" s="1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58"/>
      <c r="Z217" s="59"/>
      <c r="AA217" s="60"/>
      <c r="AB217" s="60"/>
    </row>
    <row r="218" spans="1:28" s="21" customFormat="1" ht="34.5" customHeight="1">
      <c r="A218" s="7"/>
      <c r="B218" s="7"/>
      <c r="C218" s="7"/>
      <c r="D218" s="7"/>
      <c r="E218" s="7"/>
      <c r="F218" s="7"/>
      <c r="G218" s="7"/>
      <c r="H218" s="7"/>
      <c r="I218" s="7"/>
      <c r="J218" s="1"/>
      <c r="K218" s="27"/>
      <c r="L218" s="7"/>
      <c r="M218" s="7"/>
      <c r="N218" s="1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58"/>
      <c r="Z218" s="59"/>
      <c r="AA218" s="60"/>
      <c r="AB218" s="60"/>
    </row>
    <row r="219" spans="1:28" s="21" customFormat="1" ht="34.5" customHeight="1">
      <c r="A219" s="7"/>
      <c r="B219" s="7"/>
      <c r="C219" s="7"/>
      <c r="D219" s="7"/>
      <c r="E219" s="7"/>
      <c r="F219" s="7"/>
      <c r="G219" s="7"/>
      <c r="H219" s="7"/>
      <c r="I219" s="7"/>
      <c r="J219" s="1"/>
      <c r="K219" s="27"/>
      <c r="L219" s="7"/>
      <c r="M219" s="7"/>
      <c r="N219" s="1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58"/>
      <c r="Z219" s="59"/>
      <c r="AA219" s="60"/>
      <c r="AB219" s="60"/>
    </row>
    <row r="220" spans="1:28" s="21" customFormat="1" ht="34.5" customHeight="1">
      <c r="A220" s="7"/>
      <c r="B220" s="7"/>
      <c r="C220" s="7"/>
      <c r="D220" s="7"/>
      <c r="E220" s="7"/>
      <c r="F220" s="7"/>
      <c r="G220" s="7"/>
      <c r="H220" s="7"/>
      <c r="I220" s="7"/>
      <c r="J220" s="1"/>
      <c r="K220" s="27"/>
      <c r="L220" s="7"/>
      <c r="M220" s="7"/>
      <c r="N220" s="1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58"/>
      <c r="Z220" s="59"/>
      <c r="AA220" s="60"/>
      <c r="AB220" s="60"/>
    </row>
    <row r="221" spans="1:28" s="21" customFormat="1" ht="34.5" customHeight="1">
      <c r="A221" s="7"/>
      <c r="B221" s="7"/>
      <c r="C221" s="7"/>
      <c r="D221" s="7"/>
      <c r="E221" s="7"/>
      <c r="F221" s="7"/>
      <c r="G221" s="7"/>
      <c r="H221" s="7"/>
      <c r="I221" s="7"/>
      <c r="J221" s="1"/>
      <c r="K221" s="27"/>
      <c r="L221" s="7"/>
      <c r="M221" s="7"/>
      <c r="N221" s="1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58"/>
      <c r="Z221" s="59"/>
      <c r="AA221" s="60"/>
      <c r="AB221" s="60"/>
    </row>
    <row r="222" spans="1:28" s="21" customFormat="1" ht="34.5" customHeight="1">
      <c r="A222" s="7"/>
      <c r="B222" s="7"/>
      <c r="C222" s="7"/>
      <c r="D222" s="7"/>
      <c r="E222" s="7"/>
      <c r="F222" s="7"/>
      <c r="G222" s="7"/>
      <c r="H222" s="7"/>
      <c r="I222" s="7"/>
      <c r="J222" s="1"/>
      <c r="K222" s="27"/>
      <c r="L222" s="7"/>
      <c r="M222" s="7"/>
      <c r="N222" s="1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58"/>
      <c r="Z222" s="59"/>
      <c r="AA222" s="60"/>
      <c r="AB222" s="60"/>
    </row>
    <row r="223" spans="1:28" s="21" customFormat="1" ht="34.5" customHeight="1">
      <c r="A223" s="7"/>
      <c r="B223" s="7"/>
      <c r="C223" s="7"/>
      <c r="D223" s="7"/>
      <c r="E223" s="7"/>
      <c r="F223" s="7"/>
      <c r="G223" s="7"/>
      <c r="H223" s="7"/>
      <c r="I223" s="7"/>
      <c r="J223" s="1"/>
      <c r="K223" s="27"/>
      <c r="L223" s="7"/>
      <c r="M223" s="7"/>
      <c r="N223" s="1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58"/>
      <c r="Z223" s="59"/>
      <c r="AA223" s="60"/>
      <c r="AB223" s="60"/>
    </row>
    <row r="224" spans="1:28" s="21" customFormat="1" ht="34.5" customHeight="1">
      <c r="A224" s="7"/>
      <c r="B224" s="7"/>
      <c r="C224" s="7"/>
      <c r="D224" s="7"/>
      <c r="E224" s="7"/>
      <c r="F224" s="7"/>
      <c r="G224" s="7"/>
      <c r="H224" s="7"/>
      <c r="I224" s="7"/>
      <c r="J224" s="1"/>
      <c r="K224" s="27"/>
      <c r="L224" s="7"/>
      <c r="M224" s="7"/>
      <c r="N224" s="1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58"/>
      <c r="Z224" s="59"/>
      <c r="AA224" s="60"/>
      <c r="AB224" s="60"/>
    </row>
    <row r="225" spans="1:28" s="21" customFormat="1" ht="34.5" customHeight="1">
      <c r="A225" s="7"/>
      <c r="B225" s="7"/>
      <c r="C225" s="7"/>
      <c r="D225" s="7"/>
      <c r="E225" s="7"/>
      <c r="F225" s="7"/>
      <c r="G225" s="7"/>
      <c r="H225" s="7"/>
      <c r="I225" s="7"/>
      <c r="J225" s="1"/>
      <c r="K225" s="27"/>
      <c r="L225" s="7"/>
      <c r="M225" s="7"/>
      <c r="N225" s="1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58"/>
      <c r="Z225" s="59"/>
      <c r="AA225" s="60"/>
      <c r="AB225" s="60"/>
    </row>
    <row r="226" spans="1:28" s="21" customFormat="1" ht="34.5" customHeight="1">
      <c r="A226" s="7"/>
      <c r="B226" s="7"/>
      <c r="C226" s="7"/>
      <c r="D226" s="7"/>
      <c r="E226" s="7"/>
      <c r="F226" s="7"/>
      <c r="G226" s="7"/>
      <c r="H226" s="7"/>
      <c r="I226" s="7"/>
      <c r="J226" s="1"/>
      <c r="K226" s="27"/>
      <c r="L226" s="7"/>
      <c r="M226" s="7"/>
      <c r="N226" s="1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58"/>
      <c r="Z226" s="59"/>
      <c r="AA226" s="60"/>
      <c r="AB226" s="60"/>
    </row>
    <row r="227" spans="1:28" s="21" customFormat="1" ht="34.5" customHeight="1">
      <c r="A227" s="7"/>
      <c r="B227" s="7"/>
      <c r="C227" s="7"/>
      <c r="D227" s="7"/>
      <c r="E227" s="7"/>
      <c r="F227" s="7"/>
      <c r="G227" s="7"/>
      <c r="H227" s="7"/>
      <c r="I227" s="7"/>
      <c r="J227" s="1"/>
      <c r="K227" s="27"/>
      <c r="L227" s="7"/>
      <c r="M227" s="7"/>
      <c r="N227" s="1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58"/>
      <c r="Z227" s="59"/>
      <c r="AA227" s="60"/>
      <c r="AB227" s="60"/>
    </row>
    <row r="228" spans="1:28" s="21" customFormat="1" ht="34.5" customHeight="1">
      <c r="A228" s="7"/>
      <c r="B228" s="7"/>
      <c r="C228" s="7"/>
      <c r="D228" s="7"/>
      <c r="E228" s="7"/>
      <c r="F228" s="7"/>
      <c r="G228" s="7"/>
      <c r="H228" s="7"/>
      <c r="I228" s="7"/>
      <c r="J228" s="1"/>
      <c r="K228" s="27"/>
      <c r="L228" s="7"/>
      <c r="M228" s="7"/>
      <c r="N228" s="1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58"/>
      <c r="Z228" s="59"/>
      <c r="AA228" s="60"/>
      <c r="AB228" s="60"/>
    </row>
    <row r="229" spans="1:28" s="21" customFormat="1" ht="34.5" customHeight="1">
      <c r="A229" s="7"/>
      <c r="B229" s="7"/>
      <c r="C229" s="7"/>
      <c r="D229" s="7"/>
      <c r="E229" s="7"/>
      <c r="F229" s="7"/>
      <c r="G229" s="7"/>
      <c r="H229" s="7"/>
      <c r="I229" s="7"/>
      <c r="J229" s="1"/>
      <c r="K229" s="27"/>
      <c r="L229" s="7"/>
      <c r="M229" s="7"/>
      <c r="N229" s="1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58"/>
      <c r="Z229" s="59"/>
      <c r="AA229" s="60"/>
      <c r="AB229" s="60"/>
    </row>
    <row r="230" spans="1:28" s="21" customFormat="1" ht="34.5" customHeight="1">
      <c r="A230" s="7"/>
      <c r="B230" s="7"/>
      <c r="C230" s="7"/>
      <c r="D230" s="7"/>
      <c r="E230" s="7"/>
      <c r="F230" s="7"/>
      <c r="G230" s="7"/>
      <c r="H230" s="7"/>
      <c r="I230" s="7"/>
      <c r="J230" s="1"/>
      <c r="K230" s="27"/>
      <c r="L230" s="7"/>
      <c r="M230" s="7"/>
      <c r="N230" s="1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58"/>
      <c r="Z230" s="59"/>
      <c r="AA230" s="60"/>
      <c r="AB230" s="60"/>
    </row>
    <row r="231" spans="1:28" s="21" customFormat="1" ht="34.5" customHeight="1">
      <c r="A231" s="7"/>
      <c r="B231" s="7"/>
      <c r="C231" s="7"/>
      <c r="D231" s="7"/>
      <c r="E231" s="7"/>
      <c r="F231" s="7"/>
      <c r="G231" s="7"/>
      <c r="H231" s="7"/>
      <c r="I231" s="7"/>
      <c r="J231" s="1"/>
      <c r="K231" s="27"/>
      <c r="L231" s="7"/>
      <c r="M231" s="7"/>
      <c r="N231" s="1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58"/>
      <c r="Z231" s="59"/>
      <c r="AA231" s="60"/>
      <c r="AB231" s="60"/>
    </row>
    <row r="232" spans="1:28" s="21" customFormat="1" ht="34.5" customHeight="1">
      <c r="A232" s="7"/>
      <c r="B232" s="7"/>
      <c r="C232" s="7"/>
      <c r="D232" s="7"/>
      <c r="E232" s="7"/>
      <c r="F232" s="7"/>
      <c r="G232" s="7"/>
      <c r="H232" s="7"/>
      <c r="I232" s="7"/>
      <c r="J232" s="1"/>
      <c r="K232" s="27"/>
      <c r="L232" s="7"/>
      <c r="M232" s="7"/>
      <c r="N232" s="1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58"/>
      <c r="Z232" s="59"/>
      <c r="AA232" s="60"/>
      <c r="AB232" s="60"/>
    </row>
    <row r="233" spans="1:28" s="21" customFormat="1" ht="34.5" customHeight="1">
      <c r="A233" s="7"/>
      <c r="B233" s="7"/>
      <c r="C233" s="7"/>
      <c r="D233" s="7"/>
      <c r="E233" s="7"/>
      <c r="F233" s="7"/>
      <c r="G233" s="7"/>
      <c r="H233" s="7"/>
      <c r="I233" s="7"/>
      <c r="J233" s="1"/>
      <c r="K233" s="27"/>
      <c r="L233" s="7"/>
      <c r="M233" s="7"/>
      <c r="N233" s="1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58"/>
      <c r="Z233" s="59"/>
      <c r="AA233" s="60"/>
      <c r="AB233" s="60"/>
    </row>
    <row r="234" spans="1:28" s="21" customFormat="1" ht="34.5" customHeight="1">
      <c r="A234" s="7"/>
      <c r="B234" s="7"/>
      <c r="C234" s="7"/>
      <c r="D234" s="7"/>
      <c r="E234" s="7"/>
      <c r="F234" s="7"/>
      <c r="G234" s="7"/>
      <c r="H234" s="7"/>
      <c r="I234" s="7"/>
      <c r="J234" s="1"/>
      <c r="K234" s="27"/>
      <c r="L234" s="7"/>
      <c r="M234" s="7"/>
      <c r="N234" s="1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58"/>
      <c r="Z234" s="59"/>
      <c r="AA234" s="60"/>
      <c r="AB234" s="60"/>
    </row>
    <row r="235" spans="1:28" s="21" customFormat="1" ht="34.5" customHeight="1">
      <c r="A235" s="7"/>
      <c r="B235" s="7"/>
      <c r="C235" s="7"/>
      <c r="D235" s="7"/>
      <c r="E235" s="7"/>
      <c r="F235" s="7"/>
      <c r="G235" s="7"/>
      <c r="H235" s="7"/>
      <c r="I235" s="7"/>
      <c r="J235" s="1"/>
      <c r="K235" s="27"/>
      <c r="L235" s="7"/>
      <c r="M235" s="7"/>
      <c r="N235" s="1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58"/>
      <c r="Z235" s="59"/>
      <c r="AA235" s="60"/>
      <c r="AB235" s="60"/>
    </row>
    <row r="236" spans="1:28" s="21" customFormat="1" ht="34.5" customHeight="1">
      <c r="A236" s="7"/>
      <c r="B236" s="7"/>
      <c r="C236" s="7"/>
      <c r="D236" s="7"/>
      <c r="E236" s="7"/>
      <c r="F236" s="7"/>
      <c r="G236" s="7"/>
      <c r="H236" s="7"/>
      <c r="I236" s="7"/>
      <c r="J236" s="1"/>
      <c r="K236" s="27"/>
      <c r="L236" s="7"/>
      <c r="M236" s="7"/>
      <c r="N236" s="1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58"/>
      <c r="Z236" s="59"/>
      <c r="AA236" s="60"/>
      <c r="AB236" s="60"/>
    </row>
    <row r="237" spans="1:28" s="21" customFormat="1" ht="34.5" customHeight="1">
      <c r="A237" s="7"/>
      <c r="B237" s="7"/>
      <c r="C237" s="7"/>
      <c r="D237" s="7"/>
      <c r="E237" s="7"/>
      <c r="F237" s="7"/>
      <c r="G237" s="7"/>
      <c r="H237" s="7"/>
      <c r="I237" s="7"/>
      <c r="J237" s="1"/>
      <c r="K237" s="27"/>
      <c r="L237" s="7"/>
      <c r="M237" s="7"/>
      <c r="N237" s="1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58"/>
      <c r="Z237" s="59"/>
      <c r="AA237" s="60"/>
      <c r="AB237" s="60"/>
    </row>
    <row r="238" spans="1:28" s="21" customFormat="1" ht="34.5" customHeight="1">
      <c r="A238" s="7"/>
      <c r="B238" s="7"/>
      <c r="C238" s="7"/>
      <c r="D238" s="7"/>
      <c r="E238" s="7"/>
      <c r="F238" s="7"/>
      <c r="G238" s="7"/>
      <c r="H238" s="7"/>
      <c r="I238" s="7"/>
      <c r="J238" s="1"/>
      <c r="K238" s="27"/>
      <c r="L238" s="7"/>
      <c r="M238" s="7"/>
      <c r="N238" s="1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58"/>
      <c r="Z238" s="59"/>
      <c r="AA238" s="60"/>
      <c r="AB238" s="60"/>
    </row>
    <row r="239" spans="1:28" s="21" customFormat="1" ht="34.5" customHeight="1">
      <c r="A239" s="7"/>
      <c r="B239" s="7"/>
      <c r="C239" s="7"/>
      <c r="D239" s="7"/>
      <c r="E239" s="7"/>
      <c r="F239" s="7"/>
      <c r="G239" s="7"/>
      <c r="H239" s="7"/>
      <c r="I239" s="7"/>
      <c r="J239" s="1"/>
      <c r="K239" s="27"/>
      <c r="L239" s="7"/>
      <c r="M239" s="7"/>
      <c r="N239" s="1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58"/>
      <c r="Z239" s="59"/>
      <c r="AA239" s="60"/>
      <c r="AB239" s="60"/>
    </row>
    <row r="240" spans="1:28" s="21" customFormat="1" ht="34.5" customHeight="1">
      <c r="A240" s="7"/>
      <c r="B240" s="7"/>
      <c r="C240" s="7"/>
      <c r="D240" s="7"/>
      <c r="E240" s="7"/>
      <c r="F240" s="7"/>
      <c r="G240" s="7"/>
      <c r="H240" s="7"/>
      <c r="I240" s="7"/>
      <c r="J240" s="1"/>
      <c r="K240" s="27"/>
      <c r="L240" s="7"/>
      <c r="M240" s="7"/>
      <c r="N240" s="1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58"/>
      <c r="Z240" s="59"/>
      <c r="AA240" s="60"/>
      <c r="AB240" s="60"/>
    </row>
    <row r="241" spans="1:28" s="21" customFormat="1" ht="34.5" customHeight="1">
      <c r="A241" s="7"/>
      <c r="B241" s="7"/>
      <c r="C241" s="7"/>
      <c r="D241" s="7"/>
      <c r="E241" s="7"/>
      <c r="F241" s="7"/>
      <c r="G241" s="7"/>
      <c r="H241" s="7"/>
      <c r="I241" s="7"/>
      <c r="J241" s="1"/>
      <c r="K241" s="27"/>
      <c r="L241" s="7"/>
      <c r="M241" s="7"/>
      <c r="N241" s="1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58"/>
      <c r="Z241" s="59"/>
      <c r="AA241" s="60"/>
      <c r="AB241" s="60"/>
    </row>
    <row r="242" spans="1:28" s="21" customFormat="1" ht="34.5" customHeight="1">
      <c r="A242" s="7"/>
      <c r="B242" s="7"/>
      <c r="C242" s="7"/>
      <c r="D242" s="7"/>
      <c r="E242" s="7"/>
      <c r="F242" s="7"/>
      <c r="G242" s="7"/>
      <c r="H242" s="7"/>
      <c r="I242" s="7"/>
      <c r="J242" s="1"/>
      <c r="K242" s="27"/>
      <c r="L242" s="7"/>
      <c r="M242" s="7"/>
      <c r="N242" s="1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58"/>
      <c r="Z242" s="59"/>
      <c r="AA242" s="60"/>
      <c r="AB242" s="60"/>
    </row>
    <row r="243" spans="1:28" s="21" customFormat="1" ht="34.5" customHeight="1">
      <c r="A243" s="7"/>
      <c r="B243" s="7"/>
      <c r="C243" s="7"/>
      <c r="D243" s="7"/>
      <c r="E243" s="7"/>
      <c r="F243" s="7"/>
      <c r="G243" s="7"/>
      <c r="H243" s="7"/>
      <c r="I243" s="7"/>
      <c r="J243" s="1"/>
      <c r="K243" s="27"/>
      <c r="L243" s="7"/>
      <c r="M243" s="7"/>
      <c r="N243" s="1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58"/>
      <c r="Z243" s="59"/>
      <c r="AA243" s="60"/>
      <c r="AB243" s="60"/>
    </row>
    <row r="244" spans="1:28" s="21" customFormat="1" ht="34.5" customHeight="1">
      <c r="A244" s="7"/>
      <c r="B244" s="7"/>
      <c r="C244" s="7"/>
      <c r="D244" s="7"/>
      <c r="E244" s="7"/>
      <c r="F244" s="7"/>
      <c r="G244" s="7"/>
      <c r="H244" s="7"/>
      <c r="I244" s="7"/>
      <c r="J244" s="1"/>
      <c r="K244" s="27"/>
      <c r="L244" s="7"/>
      <c r="M244" s="7"/>
      <c r="N244" s="1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58"/>
      <c r="Z244" s="59"/>
      <c r="AA244" s="60"/>
      <c r="AB244" s="60"/>
    </row>
    <row r="245" spans="1:28" s="21" customFormat="1" ht="34.5" customHeight="1">
      <c r="A245" s="7"/>
      <c r="B245" s="7"/>
      <c r="C245" s="7"/>
      <c r="D245" s="7"/>
      <c r="E245" s="7"/>
      <c r="F245" s="7"/>
      <c r="G245" s="7"/>
      <c r="H245" s="7"/>
      <c r="I245" s="7"/>
      <c r="J245" s="1"/>
      <c r="K245" s="27"/>
      <c r="L245" s="7"/>
      <c r="M245" s="7"/>
      <c r="N245" s="1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58"/>
      <c r="Z245" s="59"/>
      <c r="AA245" s="60"/>
      <c r="AB245" s="60"/>
    </row>
    <row r="246" spans="1:28" s="21" customFormat="1" ht="34.5" customHeight="1">
      <c r="A246" s="7"/>
      <c r="B246" s="7"/>
      <c r="C246" s="7"/>
      <c r="D246" s="7"/>
      <c r="E246" s="7"/>
      <c r="F246" s="7"/>
      <c r="G246" s="7"/>
      <c r="H246" s="7"/>
      <c r="I246" s="7"/>
      <c r="J246" s="1"/>
      <c r="K246" s="27"/>
      <c r="L246" s="7"/>
      <c r="M246" s="7"/>
      <c r="N246" s="1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58"/>
      <c r="Z246" s="59"/>
      <c r="AA246" s="60"/>
      <c r="AB246" s="60"/>
    </row>
    <row r="247" spans="1:28" s="21" customFormat="1" ht="34.5" customHeight="1">
      <c r="A247" s="7"/>
      <c r="B247" s="7"/>
      <c r="C247" s="7"/>
      <c r="D247" s="7"/>
      <c r="E247" s="7"/>
      <c r="F247" s="7"/>
      <c r="G247" s="7"/>
      <c r="H247" s="7"/>
      <c r="I247" s="7"/>
      <c r="J247" s="1"/>
      <c r="K247" s="27"/>
      <c r="L247" s="7"/>
      <c r="M247" s="7"/>
      <c r="N247" s="1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58"/>
      <c r="Z247" s="59"/>
      <c r="AA247" s="60"/>
      <c r="AB247" s="60"/>
    </row>
    <row r="248" spans="1:28" s="21" customFormat="1" ht="34.5" customHeight="1">
      <c r="A248" s="7"/>
      <c r="B248" s="7"/>
      <c r="C248" s="7"/>
      <c r="D248" s="7"/>
      <c r="E248" s="7"/>
      <c r="F248" s="7"/>
      <c r="G248" s="7"/>
      <c r="H248" s="7"/>
      <c r="I248" s="7"/>
      <c r="J248" s="1"/>
      <c r="K248" s="27"/>
      <c r="L248" s="7"/>
      <c r="M248" s="7"/>
      <c r="N248" s="1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58"/>
      <c r="Z248" s="59"/>
      <c r="AA248" s="60"/>
      <c r="AB248" s="60"/>
    </row>
    <row r="249" spans="1:28" s="21" customFormat="1" ht="34.5" customHeight="1">
      <c r="A249" s="7"/>
      <c r="B249" s="7"/>
      <c r="C249" s="7"/>
      <c r="D249" s="7"/>
      <c r="E249" s="7"/>
      <c r="F249" s="7"/>
      <c r="G249" s="7"/>
      <c r="H249" s="7"/>
      <c r="I249" s="7"/>
      <c r="J249" s="1"/>
      <c r="K249" s="27"/>
      <c r="L249" s="7"/>
      <c r="M249" s="7"/>
      <c r="N249" s="1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58"/>
      <c r="Z249" s="59"/>
      <c r="AA249" s="60"/>
      <c r="AB249" s="60"/>
    </row>
    <row r="250" spans="1:28" s="21" customFormat="1" ht="34.5" customHeight="1">
      <c r="A250" s="7"/>
      <c r="B250" s="7"/>
      <c r="C250" s="7"/>
      <c r="D250" s="7"/>
      <c r="E250" s="7"/>
      <c r="F250" s="7"/>
      <c r="G250" s="7"/>
      <c r="H250" s="7"/>
      <c r="I250" s="7"/>
      <c r="J250" s="1"/>
      <c r="K250" s="27"/>
      <c r="L250" s="7"/>
      <c r="M250" s="7"/>
      <c r="N250" s="1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58"/>
      <c r="Z250" s="59"/>
      <c r="AA250" s="60"/>
      <c r="AB250" s="60"/>
    </row>
    <row r="251" spans="1:28" s="21" customFormat="1" ht="34.5" customHeight="1">
      <c r="A251" s="7"/>
      <c r="B251" s="7"/>
      <c r="C251" s="7"/>
      <c r="D251" s="7"/>
      <c r="E251" s="7"/>
      <c r="F251" s="7"/>
      <c r="G251" s="7"/>
      <c r="H251" s="7"/>
      <c r="I251" s="7"/>
      <c r="J251" s="1"/>
      <c r="K251" s="27"/>
      <c r="L251" s="7"/>
      <c r="M251" s="7"/>
      <c r="N251" s="1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58"/>
      <c r="Z251" s="59"/>
      <c r="AA251" s="60"/>
      <c r="AB251" s="60"/>
    </row>
    <row r="252" spans="1:28" s="21" customFormat="1" ht="34.5" customHeight="1">
      <c r="A252" s="7"/>
      <c r="B252" s="7"/>
      <c r="C252" s="7"/>
      <c r="D252" s="7"/>
      <c r="E252" s="7"/>
      <c r="F252" s="7"/>
      <c r="G252" s="7"/>
      <c r="H252" s="7"/>
      <c r="I252" s="7"/>
      <c r="J252" s="1"/>
      <c r="K252" s="27"/>
      <c r="L252" s="7"/>
      <c r="M252" s="7"/>
      <c r="N252" s="1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58"/>
      <c r="Z252" s="59"/>
      <c r="AA252" s="60"/>
      <c r="AB252" s="60"/>
    </row>
    <row r="253" spans="1:28" s="21" customFormat="1" ht="34.5" customHeight="1">
      <c r="A253" s="7"/>
      <c r="B253" s="7"/>
      <c r="C253" s="7"/>
      <c r="D253" s="7"/>
      <c r="E253" s="7"/>
      <c r="F253" s="7"/>
      <c r="G253" s="7"/>
      <c r="H253" s="7"/>
      <c r="I253" s="7"/>
      <c r="J253" s="1"/>
      <c r="K253" s="27"/>
      <c r="L253" s="7"/>
      <c r="M253" s="7"/>
      <c r="N253" s="1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58"/>
      <c r="Z253" s="59"/>
      <c r="AA253" s="60"/>
      <c r="AB253" s="60"/>
    </row>
    <row r="254" spans="1:28" s="21" customFormat="1" ht="34.5" customHeight="1">
      <c r="A254" s="7"/>
      <c r="B254" s="7"/>
      <c r="C254" s="7"/>
      <c r="D254" s="7"/>
      <c r="E254" s="7"/>
      <c r="F254" s="7"/>
      <c r="G254" s="7"/>
      <c r="H254" s="7"/>
      <c r="I254" s="7"/>
      <c r="J254" s="1"/>
      <c r="K254" s="27"/>
      <c r="L254" s="7"/>
      <c r="M254" s="7"/>
      <c r="N254" s="1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58"/>
      <c r="Z254" s="59"/>
      <c r="AA254" s="60"/>
      <c r="AB254" s="60"/>
    </row>
    <row r="255" spans="1:28" s="21" customFormat="1" ht="34.5" customHeight="1">
      <c r="A255" s="7"/>
      <c r="B255" s="7"/>
      <c r="C255" s="7"/>
      <c r="D255" s="7"/>
      <c r="E255" s="7"/>
      <c r="F255" s="7"/>
      <c r="G255" s="7"/>
      <c r="H255" s="7"/>
      <c r="I255" s="7"/>
      <c r="J255" s="1"/>
      <c r="K255" s="27"/>
      <c r="L255" s="7"/>
      <c r="M255" s="7"/>
      <c r="N255" s="1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58"/>
      <c r="Z255" s="59"/>
      <c r="AA255" s="60"/>
      <c r="AB255" s="60"/>
    </row>
    <row r="256" spans="1:28" s="21" customFormat="1" ht="34.5" customHeight="1">
      <c r="A256" s="7"/>
      <c r="B256" s="7"/>
      <c r="C256" s="7"/>
      <c r="D256" s="7"/>
      <c r="E256" s="7"/>
      <c r="F256" s="7"/>
      <c r="G256" s="7"/>
      <c r="H256" s="7"/>
      <c r="I256" s="7"/>
      <c r="J256" s="1"/>
      <c r="K256" s="27"/>
      <c r="L256" s="7"/>
      <c r="M256" s="7"/>
      <c r="N256" s="1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58"/>
      <c r="Z256" s="59"/>
      <c r="AA256" s="60"/>
      <c r="AB256" s="60"/>
    </row>
    <row r="257" spans="1:28" s="21" customFormat="1" ht="41.25" customHeight="1">
      <c r="A257" s="7"/>
      <c r="B257" s="7"/>
      <c r="C257" s="7"/>
      <c r="D257" s="7"/>
      <c r="E257" s="7"/>
      <c r="F257" s="7"/>
      <c r="G257" s="7"/>
      <c r="H257" s="7"/>
      <c r="I257" s="7"/>
      <c r="J257" s="1"/>
      <c r="K257" s="27"/>
      <c r="L257" s="7"/>
      <c r="M257" s="7"/>
      <c r="N257" s="1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58"/>
      <c r="Z257" s="59"/>
      <c r="AA257" s="60"/>
      <c r="AB257" s="60"/>
    </row>
    <row r="258" spans="1:28" s="21" customFormat="1" ht="45" customHeight="1">
      <c r="A258" s="7"/>
      <c r="B258" s="7"/>
      <c r="C258" s="7"/>
      <c r="D258" s="7"/>
      <c r="E258" s="7"/>
      <c r="F258" s="7"/>
      <c r="G258" s="7"/>
      <c r="H258" s="7"/>
      <c r="I258" s="7"/>
      <c r="J258" s="1"/>
      <c r="K258" s="27"/>
      <c r="L258" s="7"/>
      <c r="M258" s="7"/>
      <c r="N258" s="1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58"/>
      <c r="Z258" s="59"/>
      <c r="AA258" s="60"/>
      <c r="AB258" s="60"/>
    </row>
    <row r="259" spans="1:28" s="21" customFormat="1" ht="34.5" customHeight="1">
      <c r="A259" s="7"/>
      <c r="B259" s="7"/>
      <c r="C259" s="7"/>
      <c r="D259" s="7"/>
      <c r="E259" s="7"/>
      <c r="F259" s="7"/>
      <c r="G259" s="7"/>
      <c r="H259" s="7"/>
      <c r="I259" s="7"/>
      <c r="J259" s="1"/>
      <c r="K259" s="27"/>
      <c r="L259" s="7"/>
      <c r="M259" s="7"/>
      <c r="N259" s="1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58"/>
      <c r="Z259" s="59"/>
      <c r="AA259" s="60"/>
      <c r="AB259" s="60"/>
    </row>
    <row r="260" spans="1:28" s="21" customFormat="1" ht="34.5" customHeight="1">
      <c r="A260" s="7"/>
      <c r="B260" s="7"/>
      <c r="C260" s="7"/>
      <c r="D260" s="7"/>
      <c r="E260" s="7"/>
      <c r="F260" s="7"/>
      <c r="G260" s="7"/>
      <c r="H260" s="7"/>
      <c r="I260" s="7"/>
      <c r="J260" s="1"/>
      <c r="K260" s="27"/>
      <c r="L260" s="7"/>
      <c r="M260" s="7"/>
      <c r="N260" s="1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58"/>
      <c r="Z260" s="59"/>
      <c r="AA260" s="60"/>
      <c r="AB260" s="60"/>
    </row>
    <row r="261" spans="1:28" s="21" customFormat="1" ht="34.5" customHeight="1">
      <c r="A261" s="7"/>
      <c r="B261" s="7"/>
      <c r="C261" s="7"/>
      <c r="D261" s="7"/>
      <c r="E261" s="7"/>
      <c r="F261" s="7"/>
      <c r="G261" s="7"/>
      <c r="H261" s="7"/>
      <c r="I261" s="7"/>
      <c r="J261" s="1"/>
      <c r="K261" s="27"/>
      <c r="L261" s="7"/>
      <c r="M261" s="7"/>
      <c r="N261" s="1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58"/>
      <c r="Z261" s="59"/>
      <c r="AA261" s="60"/>
      <c r="AB261" s="60"/>
    </row>
    <row r="262" spans="1:28" s="21" customFormat="1" ht="34.5" customHeight="1">
      <c r="A262" s="7"/>
      <c r="B262" s="7"/>
      <c r="C262" s="7"/>
      <c r="D262" s="7"/>
      <c r="E262" s="7"/>
      <c r="F262" s="7"/>
      <c r="G262" s="7"/>
      <c r="H262" s="7"/>
      <c r="I262" s="7"/>
      <c r="J262" s="1"/>
      <c r="K262" s="27"/>
      <c r="L262" s="7"/>
      <c r="M262" s="7"/>
      <c r="N262" s="1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58"/>
      <c r="Z262" s="59"/>
      <c r="AA262" s="60"/>
      <c r="AB262" s="60"/>
    </row>
    <row r="263" spans="1:28" s="21" customFormat="1" ht="34.5" customHeight="1">
      <c r="A263" s="7"/>
      <c r="B263" s="7"/>
      <c r="C263" s="7"/>
      <c r="D263" s="7"/>
      <c r="E263" s="7"/>
      <c r="F263" s="7"/>
      <c r="G263" s="7"/>
      <c r="H263" s="7"/>
      <c r="I263" s="7"/>
      <c r="J263" s="1"/>
      <c r="K263" s="27"/>
      <c r="L263" s="7"/>
      <c r="M263" s="7"/>
      <c r="N263" s="1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58"/>
      <c r="Z263" s="59"/>
      <c r="AA263" s="60"/>
      <c r="AB263" s="60"/>
    </row>
    <row r="264" spans="1:28" s="21" customFormat="1" ht="34.5" customHeight="1">
      <c r="A264" s="7"/>
      <c r="B264" s="7"/>
      <c r="C264" s="7"/>
      <c r="D264" s="7"/>
      <c r="E264" s="7"/>
      <c r="F264" s="7"/>
      <c r="G264" s="7"/>
      <c r="H264" s="7"/>
      <c r="I264" s="7"/>
      <c r="J264" s="1"/>
      <c r="K264" s="27"/>
      <c r="L264" s="7"/>
      <c r="M264" s="7"/>
      <c r="N264" s="1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58"/>
      <c r="Z264" s="59"/>
      <c r="AA264" s="60"/>
      <c r="AB264" s="60"/>
    </row>
    <row r="265" spans="1:28" s="21" customFormat="1" ht="34.5" customHeight="1">
      <c r="A265" s="7"/>
      <c r="B265" s="7"/>
      <c r="C265" s="7"/>
      <c r="D265" s="7"/>
      <c r="E265" s="7"/>
      <c r="F265" s="7"/>
      <c r="G265" s="7"/>
      <c r="H265" s="7"/>
      <c r="I265" s="7"/>
      <c r="J265" s="1"/>
      <c r="K265" s="27"/>
      <c r="L265" s="7"/>
      <c r="M265" s="7"/>
      <c r="N265" s="1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58"/>
      <c r="Z265" s="59"/>
      <c r="AA265" s="60"/>
      <c r="AB265" s="60"/>
    </row>
    <row r="266" spans="1:28" s="21" customFormat="1" ht="34.5" customHeight="1">
      <c r="A266" s="7"/>
      <c r="B266" s="7"/>
      <c r="C266" s="7"/>
      <c r="D266" s="7"/>
      <c r="E266" s="7"/>
      <c r="F266" s="7"/>
      <c r="G266" s="7"/>
      <c r="H266" s="7"/>
      <c r="I266" s="7"/>
      <c r="J266" s="1"/>
      <c r="K266" s="27"/>
      <c r="L266" s="7"/>
      <c r="M266" s="7"/>
      <c r="N266" s="1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58"/>
      <c r="Z266" s="59"/>
      <c r="AA266" s="60"/>
      <c r="AB266" s="60"/>
    </row>
    <row r="267" spans="1:28" s="21" customFormat="1" ht="34.5" customHeight="1">
      <c r="A267" s="7"/>
      <c r="B267" s="7"/>
      <c r="C267" s="7"/>
      <c r="D267" s="7"/>
      <c r="E267" s="7"/>
      <c r="F267" s="7"/>
      <c r="G267" s="7"/>
      <c r="H267" s="7"/>
      <c r="I267" s="7"/>
      <c r="J267" s="1"/>
      <c r="K267" s="27"/>
      <c r="L267" s="7"/>
      <c r="M267" s="7"/>
      <c r="N267" s="1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58"/>
      <c r="Z267" s="59"/>
      <c r="AA267" s="60"/>
      <c r="AB267" s="60"/>
    </row>
    <row r="268" spans="1:28" s="21" customFormat="1" ht="34.5" customHeight="1">
      <c r="A268" s="7"/>
      <c r="B268" s="7"/>
      <c r="C268" s="7"/>
      <c r="D268" s="7"/>
      <c r="E268" s="7"/>
      <c r="F268" s="7"/>
      <c r="G268" s="7"/>
      <c r="H268" s="7"/>
      <c r="I268" s="7"/>
      <c r="J268" s="1"/>
      <c r="K268" s="27"/>
      <c r="L268" s="7"/>
      <c r="M268" s="7"/>
      <c r="N268" s="1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58"/>
      <c r="Z268" s="59"/>
      <c r="AA268" s="60"/>
      <c r="AB268" s="60"/>
    </row>
    <row r="269" spans="1:28" s="21" customFormat="1" ht="34.5" customHeight="1">
      <c r="A269" s="7"/>
      <c r="B269" s="7"/>
      <c r="C269" s="7"/>
      <c r="D269" s="7"/>
      <c r="E269" s="7"/>
      <c r="F269" s="7"/>
      <c r="G269" s="7"/>
      <c r="H269" s="7"/>
      <c r="I269" s="7"/>
      <c r="J269" s="1"/>
      <c r="K269" s="27"/>
      <c r="L269" s="7"/>
      <c r="M269" s="7"/>
      <c r="N269" s="1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58"/>
      <c r="Z269" s="59"/>
      <c r="AA269" s="60"/>
      <c r="AB269" s="60"/>
    </row>
    <row r="270" spans="1:28" s="21" customFormat="1" ht="34.5" customHeight="1">
      <c r="A270" s="7"/>
      <c r="B270" s="7"/>
      <c r="C270" s="7"/>
      <c r="D270" s="7"/>
      <c r="E270" s="7"/>
      <c r="F270" s="7"/>
      <c r="G270" s="7"/>
      <c r="H270" s="7"/>
      <c r="I270" s="7"/>
      <c r="J270" s="1"/>
      <c r="K270" s="27"/>
      <c r="L270" s="7"/>
      <c r="M270" s="7"/>
      <c r="N270" s="1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58"/>
      <c r="Z270" s="59"/>
      <c r="AA270" s="60"/>
      <c r="AB270" s="60"/>
    </row>
    <row r="271" spans="1:28" s="21" customFormat="1" ht="34.5" customHeight="1">
      <c r="A271" s="7"/>
      <c r="B271" s="7"/>
      <c r="C271" s="7"/>
      <c r="D271" s="7"/>
      <c r="E271" s="7"/>
      <c r="F271" s="7"/>
      <c r="G271" s="7"/>
      <c r="H271" s="7"/>
      <c r="I271" s="7"/>
      <c r="J271" s="1"/>
      <c r="K271" s="27"/>
      <c r="L271" s="7"/>
      <c r="M271" s="7"/>
      <c r="N271" s="1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58"/>
      <c r="Z271" s="59"/>
      <c r="AA271" s="60"/>
      <c r="AB271" s="60"/>
    </row>
    <row r="272" spans="1:28" s="21" customFormat="1" ht="34.5" customHeight="1">
      <c r="A272" s="7"/>
      <c r="B272" s="7"/>
      <c r="C272" s="7"/>
      <c r="D272" s="7"/>
      <c r="E272" s="7"/>
      <c r="F272" s="7"/>
      <c r="G272" s="7"/>
      <c r="H272" s="7"/>
      <c r="I272" s="7"/>
      <c r="J272" s="1"/>
      <c r="K272" s="27"/>
      <c r="L272" s="7"/>
      <c r="M272" s="7"/>
      <c r="N272" s="1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58"/>
      <c r="Z272" s="59"/>
      <c r="AA272" s="60"/>
      <c r="AB272" s="60"/>
    </row>
    <row r="273" spans="1:28" s="21" customFormat="1" ht="34.5" customHeight="1">
      <c r="A273" s="7"/>
      <c r="B273" s="7"/>
      <c r="C273" s="7"/>
      <c r="D273" s="7"/>
      <c r="E273" s="7"/>
      <c r="F273" s="7"/>
      <c r="G273" s="7"/>
      <c r="H273" s="7"/>
      <c r="I273" s="7"/>
      <c r="J273" s="1"/>
      <c r="K273" s="27"/>
      <c r="L273" s="7"/>
      <c r="M273" s="7"/>
      <c r="N273" s="1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58"/>
      <c r="Z273" s="59"/>
      <c r="AA273" s="60"/>
      <c r="AB273" s="60"/>
    </row>
    <row r="274" spans="1:28" s="21" customFormat="1" ht="34.5" customHeight="1">
      <c r="A274" s="7"/>
      <c r="B274" s="7"/>
      <c r="C274" s="7"/>
      <c r="D274" s="7"/>
      <c r="E274" s="7"/>
      <c r="F274" s="7"/>
      <c r="G274" s="7"/>
      <c r="H274" s="7"/>
      <c r="I274" s="7"/>
      <c r="J274" s="1"/>
      <c r="K274" s="27"/>
      <c r="L274" s="7"/>
      <c r="M274" s="7"/>
      <c r="N274" s="1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58"/>
      <c r="Z274" s="59"/>
      <c r="AA274" s="60"/>
      <c r="AB274" s="60"/>
    </row>
    <row r="275" spans="1:28" s="21" customFormat="1" ht="34.5" customHeight="1">
      <c r="A275" s="7"/>
      <c r="B275" s="7"/>
      <c r="C275" s="7"/>
      <c r="D275" s="7"/>
      <c r="E275" s="7"/>
      <c r="F275" s="7"/>
      <c r="G275" s="7"/>
      <c r="H275" s="7"/>
      <c r="I275" s="7"/>
      <c r="J275" s="1"/>
      <c r="K275" s="27"/>
      <c r="L275" s="7"/>
      <c r="M275" s="7"/>
      <c r="N275" s="1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58"/>
      <c r="Z275" s="59"/>
      <c r="AA275" s="60"/>
      <c r="AB275" s="60"/>
    </row>
    <row r="276" spans="1:28" s="21" customFormat="1" ht="34.5" customHeight="1">
      <c r="A276" s="7"/>
      <c r="B276" s="7"/>
      <c r="C276" s="7"/>
      <c r="D276" s="7"/>
      <c r="E276" s="7"/>
      <c r="F276" s="7"/>
      <c r="G276" s="7"/>
      <c r="H276" s="7"/>
      <c r="I276" s="7"/>
      <c r="J276" s="1"/>
      <c r="K276" s="27"/>
      <c r="L276" s="7"/>
      <c r="M276" s="7"/>
      <c r="N276" s="1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58"/>
      <c r="Z276" s="59"/>
      <c r="AA276" s="60"/>
      <c r="AB276" s="60"/>
    </row>
    <row r="277" spans="1:28" s="21" customFormat="1" ht="34.5" customHeight="1">
      <c r="A277" s="7"/>
      <c r="B277" s="7"/>
      <c r="C277" s="7"/>
      <c r="D277" s="7"/>
      <c r="E277" s="7"/>
      <c r="F277" s="7"/>
      <c r="G277" s="7"/>
      <c r="H277" s="7"/>
      <c r="I277" s="7"/>
      <c r="J277" s="1"/>
      <c r="K277" s="27"/>
      <c r="L277" s="7"/>
      <c r="M277" s="7"/>
      <c r="N277" s="1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58"/>
      <c r="Z277" s="59"/>
      <c r="AA277" s="60"/>
      <c r="AB277" s="60"/>
    </row>
    <row r="278" spans="1:28" s="21" customFormat="1" ht="34.5" customHeight="1">
      <c r="A278" s="7"/>
      <c r="B278" s="7"/>
      <c r="C278" s="7"/>
      <c r="D278" s="7"/>
      <c r="E278" s="7"/>
      <c r="F278" s="7"/>
      <c r="G278" s="7"/>
      <c r="H278" s="7"/>
      <c r="I278" s="7"/>
      <c r="J278" s="1"/>
      <c r="K278" s="27"/>
      <c r="L278" s="7"/>
      <c r="M278" s="7"/>
      <c r="N278" s="1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58"/>
      <c r="Z278" s="59"/>
      <c r="AA278" s="60"/>
      <c r="AB278" s="60"/>
    </row>
    <row r="279" spans="1:28" s="21" customFormat="1" ht="34.5" customHeight="1">
      <c r="A279" s="7"/>
      <c r="B279" s="7"/>
      <c r="C279" s="7"/>
      <c r="D279" s="7"/>
      <c r="E279" s="7"/>
      <c r="F279" s="7"/>
      <c r="G279" s="7"/>
      <c r="H279" s="7"/>
      <c r="I279" s="7"/>
      <c r="J279" s="1"/>
      <c r="K279" s="27"/>
      <c r="L279" s="7"/>
      <c r="M279" s="7"/>
      <c r="N279" s="1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58"/>
      <c r="Z279" s="59"/>
      <c r="AA279" s="60"/>
      <c r="AB279" s="60"/>
    </row>
    <row r="280" spans="1:28" s="21" customFormat="1" ht="34.5" customHeight="1">
      <c r="A280" s="7"/>
      <c r="B280" s="7"/>
      <c r="C280" s="7"/>
      <c r="D280" s="7"/>
      <c r="E280" s="7"/>
      <c r="F280" s="7"/>
      <c r="G280" s="7"/>
      <c r="H280" s="7"/>
      <c r="I280" s="7"/>
      <c r="J280" s="1"/>
      <c r="K280" s="27"/>
      <c r="L280" s="7"/>
      <c r="M280" s="7"/>
      <c r="N280" s="1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58"/>
      <c r="Z280" s="59"/>
      <c r="AA280" s="60"/>
      <c r="AB280" s="60"/>
    </row>
    <row r="281" spans="25:28" ht="19.5" customHeight="1">
      <c r="Y281" s="1"/>
      <c r="Z281" s="32"/>
      <c r="AA281" s="33"/>
      <c r="AB281" s="33"/>
    </row>
    <row r="282" spans="25:28" ht="19.5" customHeight="1">
      <c r="Y282" s="1"/>
      <c r="Z282" s="32"/>
      <c r="AA282" s="33"/>
      <c r="AB282" s="33"/>
    </row>
    <row r="283" spans="25:28" ht="19.5" customHeight="1">
      <c r="Y283" s="1"/>
      <c r="Z283" s="32"/>
      <c r="AA283" s="33"/>
      <c r="AB283" s="33"/>
    </row>
    <row r="284" ht="15">
      <c r="AB284" s="26"/>
    </row>
  </sheetData>
  <sheetProtection/>
  <mergeCells count="18">
    <mergeCell ref="O1:X1"/>
    <mergeCell ref="M1:M2"/>
    <mergeCell ref="N1:N2"/>
    <mergeCell ref="A89:H89"/>
    <mergeCell ref="I1:I2"/>
    <mergeCell ref="J1:J2"/>
    <mergeCell ref="K1:K2"/>
    <mergeCell ref="L1:L2"/>
    <mergeCell ref="A1:A2"/>
    <mergeCell ref="B1:B2"/>
    <mergeCell ref="G1:G2"/>
    <mergeCell ref="H1:H2"/>
    <mergeCell ref="A90:H90"/>
    <mergeCell ref="D1:D2"/>
    <mergeCell ref="A91:H91"/>
    <mergeCell ref="E1:E2"/>
    <mergeCell ref="C1:C2"/>
    <mergeCell ref="F1:F2"/>
  </mergeCells>
  <conditionalFormatting sqref="AB284 Z74:AB88 Y89:AB283 Y3:AB3 Y5:AB6 Z7:AB72 Y7:Y88">
    <cfRule type="cellIs" priority="34" dxfId="51" operator="equal">
      <formula>FALSE</formula>
    </cfRule>
  </conditionalFormatting>
  <conditionalFormatting sqref="Z74:AA88 Y89:AA283 Y3:AA3 Y5:AA6 Z7:AA72 Y7:Y88">
    <cfRule type="containsText" priority="27" dxfId="51" operator="containsText" text="fałsz">
      <formula>NOT(ISERROR(SEARCH("fałsz",Y3)))</formula>
    </cfRule>
  </conditionalFormatting>
  <conditionalFormatting sqref="Z73:AB73">
    <cfRule type="cellIs" priority="8" dxfId="51" operator="equal">
      <formula>FALSE</formula>
    </cfRule>
  </conditionalFormatting>
  <conditionalFormatting sqref="Z73:AA73">
    <cfRule type="containsText" priority="7" dxfId="51" operator="containsText" text="fałsz">
      <formula>NOT(ISERROR(SEARCH("fałsz",Z73)))</formula>
    </cfRule>
  </conditionalFormatting>
  <conditionalFormatting sqref="Y4:AB4">
    <cfRule type="cellIs" priority="2" dxfId="51" operator="equal">
      <formula>FALSE</formula>
    </cfRule>
  </conditionalFormatting>
  <conditionalFormatting sqref="Y4:AA4">
    <cfRule type="containsText" priority="1" dxfId="51" operator="containsText" text="fałsz">
      <formula>NOT(ISERROR(SEARCH("fałsz",Y4)))</formula>
    </cfRule>
  </conditionalFormatting>
  <dataValidations count="2">
    <dataValidation type="list" allowBlank="1" showInputMessage="1" showErrorMessage="1" sqref="H3:H88">
      <formula1>"B,P,R"</formula1>
    </dataValidation>
    <dataValidation type="list" allowBlank="1" showInputMessage="1" showErrorMessage="1" sqref="C3:C88">
      <formula1>"N,K,W"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scale="53" r:id="rId3"/>
  <headerFooter>
    <oddHeader>&amp;LWojewództwo podlaskie - zadania gminne lista rezerwowa</oddHeader>
    <oddFooter>&amp;CStrona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Przykaza Daniel</dc:creator>
  <cp:keywords/>
  <dc:description/>
  <cp:lastModifiedBy>Łapińska Aleksandra</cp:lastModifiedBy>
  <cp:lastPrinted>2021-11-23T13:54:41Z</cp:lastPrinted>
  <dcterms:created xsi:type="dcterms:W3CDTF">2019-02-25T10:53:14Z</dcterms:created>
  <dcterms:modified xsi:type="dcterms:W3CDTF">2022-02-15T10:28:27Z</dcterms:modified>
  <cp:category/>
  <cp:version/>
  <cp:contentType/>
  <cp:contentStatus/>
</cp:coreProperties>
</file>