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729ad\mszczuka\Moje dokumenty - powiat\WYKONANIE BUDŻETU 2024\"/>
    </mc:Choice>
  </mc:AlternateContent>
  <bookViews>
    <workbookView xWindow="0" yWindow="0" windowWidth="28800" windowHeight="11715"/>
  </bookViews>
  <sheets>
    <sheet name="WPF_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4" i="1" l="1"/>
  <c r="T54" i="1" l="1"/>
  <c r="U54" i="1" s="1"/>
  <c r="S54" i="1"/>
  <c r="T53" i="1"/>
  <c r="U53" i="1" s="1"/>
  <c r="S53" i="1"/>
  <c r="U52" i="1"/>
  <c r="T52" i="1"/>
  <c r="S52" i="1"/>
  <c r="T51" i="1"/>
  <c r="U51" i="1" s="1"/>
  <c r="S51" i="1"/>
  <c r="T50" i="1"/>
  <c r="U50" i="1" s="1"/>
  <c r="S50" i="1"/>
  <c r="T49" i="1"/>
  <c r="U49" i="1" s="1"/>
  <c r="S49" i="1"/>
  <c r="T48" i="1"/>
  <c r="U48" i="1" s="1"/>
  <c r="S48" i="1"/>
  <c r="T47" i="1"/>
  <c r="U47" i="1" s="1"/>
  <c r="S47" i="1"/>
  <c r="T46" i="1"/>
  <c r="U46" i="1" s="1"/>
  <c r="S46" i="1"/>
  <c r="T45" i="1"/>
  <c r="U45" i="1" s="1"/>
  <c r="S45" i="1"/>
  <c r="T44" i="1"/>
  <c r="U44" i="1" s="1"/>
  <c r="S44" i="1"/>
  <c r="T43" i="1"/>
  <c r="U43" i="1" s="1"/>
  <c r="S43" i="1"/>
  <c r="T42" i="1"/>
  <c r="U42" i="1" s="1"/>
  <c r="S42" i="1"/>
  <c r="U41" i="1"/>
  <c r="T41" i="1"/>
  <c r="S41" i="1"/>
  <c r="U40" i="1"/>
  <c r="T40" i="1"/>
  <c r="S40" i="1"/>
  <c r="T39" i="1"/>
  <c r="U39" i="1" s="1"/>
  <c r="S39" i="1"/>
  <c r="T38" i="1"/>
  <c r="U38" i="1" s="1"/>
  <c r="S38" i="1"/>
  <c r="T37" i="1"/>
  <c r="U37" i="1" s="1"/>
  <c r="S37" i="1"/>
  <c r="T36" i="1"/>
  <c r="U36" i="1" s="1"/>
  <c r="S36" i="1"/>
  <c r="T35" i="1"/>
  <c r="U35" i="1" s="1"/>
  <c r="S35" i="1"/>
  <c r="U34" i="1"/>
  <c r="T34" i="1"/>
  <c r="S34" i="1"/>
  <c r="T33" i="1"/>
  <c r="U33" i="1" s="1"/>
  <c r="S33" i="1"/>
  <c r="U32" i="1"/>
  <c r="T32" i="1"/>
  <c r="S32" i="1"/>
  <c r="T31" i="1"/>
  <c r="U31" i="1" s="1"/>
  <c r="S31" i="1"/>
  <c r="T30" i="1"/>
  <c r="U30" i="1" s="1"/>
  <c r="S30" i="1"/>
  <c r="T29" i="1"/>
  <c r="U29" i="1" s="1"/>
  <c r="S29" i="1"/>
  <c r="T28" i="1"/>
  <c r="U28" i="1" s="1"/>
  <c r="S28" i="1"/>
  <c r="U27" i="1"/>
  <c r="T27" i="1"/>
  <c r="S27" i="1"/>
  <c r="T26" i="1"/>
  <c r="U26" i="1" s="1"/>
  <c r="S26" i="1"/>
  <c r="T25" i="1"/>
  <c r="U25" i="1" s="1"/>
  <c r="S25" i="1"/>
  <c r="T24" i="1"/>
  <c r="U24" i="1" s="1"/>
  <c r="S24" i="1"/>
  <c r="T23" i="1"/>
  <c r="U23" i="1" s="1"/>
  <c r="S23" i="1"/>
  <c r="T22" i="1"/>
  <c r="U22" i="1" s="1"/>
  <c r="S22" i="1"/>
  <c r="U21" i="1"/>
  <c r="T21" i="1"/>
  <c r="S21" i="1"/>
  <c r="R20" i="1"/>
  <c r="Q20" i="1"/>
  <c r="P20" i="1"/>
  <c r="O20" i="1"/>
  <c r="N20" i="1"/>
  <c r="M20" i="1"/>
  <c r="L20" i="1"/>
  <c r="K20" i="1"/>
  <c r="J20" i="1"/>
  <c r="I20" i="1"/>
  <c r="H20" i="1"/>
  <c r="G20" i="1"/>
  <c r="S20" i="1" s="1"/>
  <c r="F20" i="1"/>
  <c r="T19" i="1"/>
  <c r="U19" i="1" s="1"/>
  <c r="S19" i="1"/>
  <c r="T18" i="1"/>
  <c r="U18" i="1" s="1"/>
  <c r="S18" i="1"/>
  <c r="T17" i="1"/>
  <c r="U17" i="1" s="1"/>
  <c r="S17" i="1"/>
  <c r="T16" i="1"/>
  <c r="U16" i="1" s="1"/>
  <c r="S16" i="1"/>
  <c r="T15" i="1"/>
  <c r="U15" i="1" s="1"/>
  <c r="S15" i="1"/>
  <c r="U14" i="1"/>
  <c r="S14" i="1"/>
  <c r="R13" i="1"/>
  <c r="T13" i="1" s="1"/>
  <c r="U13" i="1" s="1"/>
  <c r="Q13" i="1"/>
  <c r="P13" i="1"/>
  <c r="O13" i="1"/>
  <c r="N13" i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Q12" i="1"/>
  <c r="P12" i="1"/>
  <c r="O12" i="1"/>
  <c r="N12" i="1"/>
  <c r="R11" i="1"/>
  <c r="Q11" i="1"/>
  <c r="P11" i="1"/>
  <c r="O11" i="1"/>
  <c r="N11" i="1"/>
  <c r="M11" i="1"/>
  <c r="L11" i="1"/>
  <c r="K11" i="1"/>
  <c r="J11" i="1"/>
  <c r="I11" i="1"/>
  <c r="H11" i="1"/>
  <c r="G11" i="1"/>
  <c r="S11" i="1" s="1"/>
  <c r="F11" i="1"/>
  <c r="U11" i="1" s="1"/>
  <c r="R10" i="1"/>
  <c r="Q10" i="1"/>
  <c r="P10" i="1"/>
  <c r="O10" i="1"/>
  <c r="N10" i="1"/>
  <c r="M10" i="1"/>
  <c r="L10" i="1"/>
  <c r="K10" i="1"/>
  <c r="K9" i="1" s="1"/>
  <c r="J10" i="1"/>
  <c r="I10" i="1"/>
  <c r="H10" i="1"/>
  <c r="G10" i="1"/>
  <c r="S10" i="1" s="1"/>
  <c r="F10" i="1"/>
  <c r="U10" i="1" s="1"/>
  <c r="R8" i="1"/>
  <c r="Q8" i="1"/>
  <c r="P8" i="1"/>
  <c r="O8" i="1"/>
  <c r="N8" i="1"/>
  <c r="M8" i="1"/>
  <c r="L8" i="1"/>
  <c r="K8" i="1"/>
  <c r="J8" i="1"/>
  <c r="I8" i="1"/>
  <c r="I4" i="1" s="1"/>
  <c r="H8" i="1"/>
  <c r="G8" i="1"/>
  <c r="F8" i="1"/>
  <c r="F4" i="1" s="1"/>
  <c r="T7" i="1"/>
  <c r="U7" i="1" s="1"/>
  <c r="S7" i="1"/>
  <c r="R6" i="1"/>
  <c r="R5" i="1" s="1"/>
  <c r="Q6" i="1"/>
  <c r="P6" i="1"/>
  <c r="O6" i="1"/>
  <c r="N6" i="1"/>
  <c r="M6" i="1"/>
  <c r="L6" i="1"/>
  <c r="K6" i="1"/>
  <c r="J6" i="1"/>
  <c r="I6" i="1"/>
  <c r="H6" i="1"/>
  <c r="G6" i="1"/>
  <c r="F6" i="1"/>
  <c r="M5" i="1" l="1"/>
  <c r="O5" i="1"/>
  <c r="P5" i="1"/>
  <c r="N3" i="1"/>
  <c r="O9" i="1"/>
  <c r="P3" i="1"/>
  <c r="T11" i="1"/>
  <c r="K4" i="1"/>
  <c r="Q9" i="1"/>
  <c r="H5" i="1"/>
  <c r="O2" i="1"/>
  <c r="G5" i="1"/>
  <c r="N5" i="1"/>
  <c r="G4" i="1"/>
  <c r="L3" i="1"/>
  <c r="H4" i="1"/>
  <c r="M3" i="1"/>
  <c r="F5" i="1"/>
  <c r="R9" i="1"/>
  <c r="I5" i="1"/>
  <c r="K5" i="1"/>
  <c r="K2" i="1" s="1"/>
  <c r="L5" i="1"/>
  <c r="T8" i="1"/>
  <c r="J4" i="1"/>
  <c r="L4" i="1"/>
  <c r="Q5" i="1"/>
  <c r="R3" i="1"/>
  <c r="O4" i="1"/>
  <c r="I9" i="1"/>
  <c r="P4" i="1"/>
  <c r="J5" i="1"/>
  <c r="S8" i="1"/>
  <c r="U8" i="1"/>
  <c r="M4" i="1"/>
  <c r="N4" i="1"/>
  <c r="H3" i="1"/>
  <c r="J3" i="1"/>
  <c r="Q4" i="1"/>
  <c r="U20" i="1"/>
  <c r="F2" i="1"/>
  <c r="J9" i="1"/>
  <c r="R4" i="1"/>
  <c r="L9" i="1"/>
  <c r="M9" i="1"/>
  <c r="M2" i="1" s="1"/>
  <c r="Q3" i="1"/>
  <c r="N9" i="1"/>
  <c r="R12" i="1"/>
  <c r="S12" i="1" s="1"/>
  <c r="K3" i="1"/>
  <c r="P9" i="1"/>
  <c r="P2" i="1" s="1"/>
  <c r="T10" i="1"/>
  <c r="T20" i="1"/>
  <c r="I3" i="1"/>
  <c r="F9" i="1"/>
  <c r="F3" i="1"/>
  <c r="S13" i="1"/>
  <c r="S6" i="1"/>
  <c r="H9" i="1"/>
  <c r="G3" i="1"/>
  <c r="T6" i="1"/>
  <c r="U6" i="1" s="1"/>
  <c r="G9" i="1"/>
  <c r="S9" i="1" s="1"/>
  <c r="O3" i="1"/>
  <c r="S4" i="1" l="1"/>
  <c r="J2" i="1"/>
  <c r="Q2" i="1"/>
  <c r="N2" i="1"/>
  <c r="R2" i="1"/>
  <c r="S3" i="1"/>
  <c r="L2" i="1"/>
  <c r="H2" i="1"/>
  <c r="T12" i="1"/>
  <c r="U12" i="1" s="1"/>
  <c r="T4" i="1"/>
  <c r="U4" i="1" s="1"/>
  <c r="I2" i="1"/>
  <c r="U9" i="1"/>
  <c r="T9" i="1"/>
  <c r="T5" i="1"/>
  <c r="U5" i="1" s="1"/>
  <c r="S5" i="1"/>
  <c r="G2" i="1"/>
  <c r="T3" i="1"/>
  <c r="U3" i="1" s="1"/>
  <c r="S2" i="1" l="1"/>
  <c r="T2" i="1"/>
  <c r="U2" i="1" s="1"/>
</calcChain>
</file>

<file path=xl/sharedStrings.xml><?xml version="1.0" encoding="utf-8"?>
<sst xmlns="http://schemas.openxmlformats.org/spreadsheetml/2006/main" count="168" uniqueCount="126">
  <si>
    <t>Lp.</t>
  </si>
  <si>
    <t>Nazwa i cel</t>
  </si>
  <si>
    <t>Jednostka</t>
  </si>
  <si>
    <t>Od</t>
  </si>
  <si>
    <t>Do</t>
  </si>
  <si>
    <t>Nakłady</t>
  </si>
  <si>
    <t>Plan na 2024 (stan na 31.12.2024 r.)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</si>
  <si>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</si>
  <si>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</si>
  <si>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</si>
  <si>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</si>
  <si>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</si>
  <si>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</si>
  <si>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</si>
  <si>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</si>
  <si>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</si>
  <si>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</si>
  <si>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Wykonanie w 2024 r.</t>
  </si>
  <si>
    <t>Stopień realizacji w 2024 r.</t>
  </si>
  <si>
    <t>Wykonanie od początku realizacji zadania</t>
  </si>
  <si>
    <t>Stopień realizacji całości zadania</t>
  </si>
  <si>
    <t>1</t>
  </si>
  <si>
    <t>Przedsięwzięcia razem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</si>
  <si>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</si>
  <si>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</si>
  <si>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</si>
  <si>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</si>
  <si>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</si>
  <si>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późn.zm.):</t>
  </si>
  <si>
    <t>1.1.1</t>
  </si>
  <si>
    <t>1.1.1.1</t>
  </si>
  <si>
    <t>Współpraca polsko - litewwska na rzecz wsparcia dostępności i jakości usług medycznych na terenie Powiatu Białostockiego i Gminy Święciany  - Współpraca Interreg VI-A Polska - Litwa</t>
  </si>
  <si>
    <t>STAROSTWO POWIATOWE W BIAŁYMSTOKU</t>
  </si>
  <si>
    <t>1.1.2</t>
  </si>
  <si>
    <t>1.2</t>
  </si>
  <si>
    <t>Wydatki na programy, projekty lub zadania związane z umowami partnerstwa publiczno-prywatnego:</t>
  </si>
  <si>
    <t>1.2.1</t>
  </si>
  <si>
    <t>1.2.2</t>
  </si>
  <si>
    <t>1.3</t>
  </si>
  <si>
    <t>Wydatki na programy, projekty lub zadania pozostałe (inne niż wymienione w pkt 1.1 i 1.2):</t>
  </si>
  <si>
    <t>1.3.1</t>
  </si>
  <si>
    <t>1.3.1.1</t>
  </si>
  <si>
    <t xml:space="preserve">Archiwizacja dokumentacji - </t>
  </si>
  <si>
    <t>1.3.1.2</t>
  </si>
  <si>
    <t xml:space="preserve">Dofinansowanie kosztów działalności Warsztatów Terapii Zajęciowej funkcjonujących na terenie Powiatu Białostockiego ze środków samorządu  - </t>
  </si>
  <si>
    <t>1.3.1.3</t>
  </si>
  <si>
    <t xml:space="preserve">Modernizacja ewidencji gruntów i budynków oraz utworzenie baz danych obiektów topograficznych BDOT500 i sieci uzbrojenia terenu GESUT - </t>
  </si>
  <si>
    <t>1.3.1.4</t>
  </si>
  <si>
    <t xml:space="preserve">Realizacja porozumień w sprawie ponoszenia wydatków na opiekę i wychowanie dzieci umieszczonych w rodzinnej pieczy zastępczej oraz średnich miesięcznych wydatków przeznaczonych na utrzymanie dzieci w regionalnej placówce opiekuńczo - terapeutycznej - </t>
  </si>
  <si>
    <t>POWIATOWE CENTRUM POMOCY RODZINIE W BIAŁYMSTOKU</t>
  </si>
  <si>
    <t>1.3.1.5</t>
  </si>
  <si>
    <t xml:space="preserve">Umowa zlecająca prowadzenie placówki opiekuńczo - wychowawczej o typie interwencyjnym i socjalizacyjnym na 14 miejsc - </t>
  </si>
  <si>
    <t>1.3.1.6</t>
  </si>
  <si>
    <t xml:space="preserve">Utworzenie i prowadzenie zawodowych rodzin zastępczych - </t>
  </si>
  <si>
    <t>1.3.2</t>
  </si>
  <si>
    <t>1.3.2.1</t>
  </si>
  <si>
    <t xml:space="preserve">Aktualizacja dokumentacji projektowej na: Budowę ścieżki pieszo-rowerowej w ciągu drogi powiatowej Nr 1418B na odcinku od ul. Wojtachowskiej do miejscowości Sochonie wraz z budową kładki pieszo-rowerowej przez rz. Czarną (Gm. Wasilków) - </t>
  </si>
  <si>
    <t>POWIATOWY ZARZĄD DRÓG W BIAŁYMSTOKU</t>
  </si>
  <si>
    <t>1.3.2.2</t>
  </si>
  <si>
    <t>Budowa budynku usługowo - biurowego na potrzeby Powiatowego Urzędu Pracy w Białymstoku w systemie zaprojektuj i wybuduj - Rządowy Fundusz Polski Ład: Program Inwestycji Strategicznych</t>
  </si>
  <si>
    <t>1.3.2.3</t>
  </si>
  <si>
    <t xml:space="preserve">Dostawa mebli i wyposażenia do nowego budynku Starostwa Powiatowego w Białymstoku - </t>
  </si>
  <si>
    <t>1.3.2.4</t>
  </si>
  <si>
    <t xml:space="preserve">Opracowanie dokumentacji geodezyjnej i kartograficznej podziałów działek oraz połączenia działek w podziale na 5 części.  - </t>
  </si>
  <si>
    <t>1.3.2.5</t>
  </si>
  <si>
    <t xml:space="preserve">Opracowanie dokumentacji projektowej na: Budowę drogi powiatowej Nr 1531B w m. Bokiny na odcinku od drogi wojewódzkiej Nr 678 do kościoła (Gm. Łapy) - </t>
  </si>
  <si>
    <t>1.3.2.6</t>
  </si>
  <si>
    <t xml:space="preserve">Opracowanie dokumentacji projektowej na: Budowę mostu na rzece Rudnia wraz z dojazdami w ciągu drogi powiatowej Nr 1477B w m. Aleksicze (Gm. Zabłudów)  - </t>
  </si>
  <si>
    <t>1.3.2.7</t>
  </si>
  <si>
    <t xml:space="preserve">Opracowanie dokumentacji projektowej na: Przebudowę z rozbudową drogi powiatowej Nr 1320B Łosiniec - Zdroje - Bombla (Gm. Czarna Białostocka)  - </t>
  </si>
  <si>
    <t>1.3.2.8</t>
  </si>
  <si>
    <t xml:space="preserve">Opracowanie dokumentacji projektowej na: Przebudowę z rozbudową drogi powiatowej Nr 1425B w miejscowości Kosmaty Borek (Gm. Czarna Białostocka)  - </t>
  </si>
  <si>
    <t>1.3.2.9</t>
  </si>
  <si>
    <t xml:space="preserve">Opracowanie dokumentacji projektowej na: Przebudowę z rozbudową drogi powiatowej Nr 1427B na odcinku Ogrodniczki - Nowodworce (Gm. Supraśl)  - </t>
  </si>
  <si>
    <t>1.3.2.10</t>
  </si>
  <si>
    <t xml:space="preserve">Opracowanie dokumentacji projektowej na: Przebudowę z rozbudową drogi powiatowej Nr 1565B w miejscowości Brzozowo Stare (Gm. Poświętne) - </t>
  </si>
  <si>
    <t>1.3.2.11</t>
  </si>
  <si>
    <t xml:space="preserve">Opracowanie dokumentacji projektowej na: Przebudowę z rozbudową drogi powiatowej Nr 1567B Wilkowo Nowe - Wilkowo Stare (Gm. Poświętne) - </t>
  </si>
  <si>
    <t>1.3.2.12</t>
  </si>
  <si>
    <t>Przebudowa drogi powiatowej Nr 1385B na długości ul. Lipowej w Dobrzyniewie Dużym wraz z rozbudową skrzyżowania z ul. Białostocką (Gm. Dobrzyniewo Duże) - Rządowy Fundusz Rozwoju Dróg</t>
  </si>
  <si>
    <t>1.3.2.13</t>
  </si>
  <si>
    <t>Przebudowa z rozbudową drogi powiatowej Nr 1377B na odcinku Tykocin - Kiermusy - Nieciece - Łopuchowo - Etap I  (Gm. Tykocin) - Rządowy Fundusz Rozwoju Dróg</t>
  </si>
  <si>
    <t>1.3.2.14</t>
  </si>
  <si>
    <t xml:space="preserve">Przebudowa z rozbudową drogi powiatowej Nr 1380B Tykocin - Złotoria Etap IV (Gm. Tykocin) - Rządowy Fundusz Rozwoju Dróg </t>
  </si>
  <si>
    <t>1.3.2.15</t>
  </si>
  <si>
    <t>Przebudowa z rozbudową drogi powiatowej Nr 1427B na odcinku Wasilków - Nowodworce (Gm. Wasilków) - Rządowy Fundusz Rozwoju Dróg</t>
  </si>
  <si>
    <t>1.3.2.16</t>
  </si>
  <si>
    <t>Przebudowa z rozbudową drogi powiatowej Nr 1437 B na odcinku przejścia przez miejscowość Słuczanka (Gmina Gródek)  - Rządowy Fundusz Rozwoju Dróg</t>
  </si>
  <si>
    <t>1.3.2.17</t>
  </si>
  <si>
    <t xml:space="preserve">Przebudowa z rozbudową drogi powiatowej Nr 1466B na odcinku Hieronimowo - granica Gminy Michałowo - Etap II (Gm. Michałowo) - Rządowy Fundusz Rozwoju Dróg </t>
  </si>
  <si>
    <t>1.3.2.18</t>
  </si>
  <si>
    <t>Przebudowa z rozbudową drogi powiatowej Nr 1472B w miejscowości Tatarowce (Gm. Zabłudów)  - Rządowy Fundusz Rozwoju Dróg</t>
  </si>
  <si>
    <t>1.3.2.19</t>
  </si>
  <si>
    <t>Przebudowa z rozbudową drogi powiatowej Nr 1482B na odcinku Kaniuki do drogi gminnej Nr 106860B (Gm. Zabłudów) - Rządowy Fundusz Rozwoju Dróg</t>
  </si>
  <si>
    <t>1.3.2.20</t>
  </si>
  <si>
    <t xml:space="preserve">Przebudowa z rozbudową drogi powiatowej Nr 1492B Hryniewicze - Olmonty (Gm. Juchnowiec Kościelny) - Rządowy Fundusz Rozwoju Dróg </t>
  </si>
  <si>
    <t>1.3.2.21</t>
  </si>
  <si>
    <t>Przebudowa z rozbudową drogi powiatowej Nr 1501B (Gm. Turośń Kościelna) - Rządowy Fundusz Rozwoju Dróg</t>
  </si>
  <si>
    <t>1.3.2.22</t>
  </si>
  <si>
    <t>Przebudowa z rozbudową drogi powiatowej Nr 1504B na odcinku od drogi wojewódzkiej Nr 678 do skrzyżowania z drogami powiatowymi Nr 1498B i Nr 1518B wraz ze skrzyżowaniem - Etap I (Gm. Turośń Kościelna) - Rządowy Fundusz Rozwoju Dróg</t>
  </si>
  <si>
    <t>1.3.2.23</t>
  </si>
  <si>
    <t>Przebudowa z rozbudową drogi powiatowej Nr 1541B Zaczerlany - Gajowniki - Kolonia Etap II (Gm. Choroszcz) - Rządowy Fundusz Rozwoju Dróg</t>
  </si>
  <si>
    <t>1.3.2.24</t>
  </si>
  <si>
    <t>Przebudowa z rozbudową drogi powiatowej Nr 1549B na odcinku ul. Kolejowej w Klepaczach (Gm. Choroszcz) - Rządowy Fundusz Rozwoju Dróg</t>
  </si>
  <si>
    <t>1.3.2.25</t>
  </si>
  <si>
    <t>Przebudowa z rozbudową drogi powiatowej Nr 1564B na odcinku Dzierżki - Brzozowo Solniki - etap I (Gm. Poświętne) - Rządowy Fundusz Rozwoju Dróg</t>
  </si>
  <si>
    <t>1.3.2.26</t>
  </si>
  <si>
    <t>Przebudowa z rozbudową drogi powiatowej Nr 1969 B na odcinku Targonie Wity  - Zawady Kolonia (Gmina Zawady)  - Rządowy Fundusz Rozwoju Dróg</t>
  </si>
  <si>
    <t>1.3.2.27</t>
  </si>
  <si>
    <t>Remont zabytkowego dworu w Krasnem - siedziby Domu Dziecka Nr 2 - prace budowlane (architektura i konstrukcja), instalacje elektryczne (instalacja odgromowa), instalacje sanitarne - etap I - Rządowy Program Odbudowy Zabytków</t>
  </si>
  <si>
    <t>CENTRUM ADMINISTRACYJNE OBSŁUGI PLACÓWEK OPIEKUŃCZO - WYCHOWAWCZYCH IM. JANUSZA KORCZAKA W KRASNEM</t>
  </si>
  <si>
    <t>1.3.2.28</t>
  </si>
  <si>
    <t>Remont zabytkowego dworu w Krasnem - siedziby Domu Dziecka Nr 2 - prace budowlane (architektura), instalacje elektryczne i SSP - etap II  - Rządowy Program Odbudowy Zabytków</t>
  </si>
  <si>
    <t>1.3.2.29</t>
  </si>
  <si>
    <t>Rozbiórka i budowa mostu przez rz. Białą wraz z przebudową odcinka drogi powiatowej Nr 1392B k/m Fasty (Gm. Dobrzyniewo Duże) - Rządowy Fundusz Rozwoju Dróg</t>
  </si>
  <si>
    <t>1.3.2.30</t>
  </si>
  <si>
    <t xml:space="preserve">Rrozbudowa drogi powiatowej Nr 1429B na odcinku Ciasne - Ogrodniczki (Gm. Supraśl) - Rządowy Fundusz Rozwoju Dróg </t>
  </si>
  <si>
    <t>1.3.2.31</t>
  </si>
  <si>
    <t xml:space="preserve">Zakup pojazdu przystosowanego do przewozu osób niepełnosprawnych do Domu Pomocy Społecznej w Uhowie - </t>
  </si>
  <si>
    <t>DOM POMOCY SPOŁECZNEJ W UHOWIE</t>
  </si>
  <si>
    <t>1.3.2.32</t>
  </si>
  <si>
    <t>Budowa drogi dla rowerów i pieszych w ciągu drogi powiatowej Nr 1429B w Grabówce (Gm. Supraśl)  - Rządowy Fundusz Rozwoju Dróg</t>
  </si>
  <si>
    <t>1.3.2.33</t>
  </si>
  <si>
    <t>Przebudowa z rozbudową drogi powiatowej Nr 1969B na odcinku  Łaś Toczyłowo - Rudniki (Gm. Zawady) - Rządowy Fundusz Rozwoju Dróg</t>
  </si>
  <si>
    <t>1.3.2.34</t>
  </si>
  <si>
    <t xml:space="preserve">Przebudowa z rozbudową drogi powiatowej Nr 1497B na odcinku Kolonia Koplany - Brończany - Stacja Lewickie - etap I (Gm.Juchnowiec Kościelny)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</si>
</sst>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ADD8E6"/>
      </patternFill>
    </fill>
    <fill>
      <patternFill patternType="solid">
        <fgColor rgb="FFFFFFFF"/>
      </patternFill>
    </fill>
    <fill>
      <patternFill patternType="solid">
        <fgColor rgb="FFF5F5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4" fontId="1" fillId="3" borderId="1" xfId="0" applyNumberFormat="1" applyFont="1" applyFill="1" applyBorder="1" applyAlignment="1" applyProtection="1">
      <alignment horizontal="right" vertical="center"/>
    </xf>
    <xf numFmtId="4" fontId="2" fillId="5" borderId="1" xfId="0" applyNumberFormat="1" applyFont="1" applyFill="1" applyBorder="1" applyAlignment="1" applyProtection="1">
      <alignment horizontal="right" vertical="center" wrapText="1"/>
    </xf>
    <xf numFmtId="4" fontId="2" fillId="5" borderId="1" xfId="0" applyNumberFormat="1" applyFont="1" applyFill="1" applyBorder="1" applyAlignment="1" applyProtection="1">
      <alignment horizontal="right" vertical="center"/>
    </xf>
    <xf numFmtId="4" fontId="2" fillId="3" borderId="1" xfId="0" applyNumberFormat="1" applyFont="1" applyFill="1" applyBorder="1" applyAlignment="1" applyProtection="1">
      <alignment horizontal="right" vertical="center"/>
    </xf>
    <xf numFmtId="10" fontId="1" fillId="4" borderId="1" xfId="0" applyNumberFormat="1" applyFont="1" applyFill="1" applyBorder="1" applyAlignment="1" applyProtection="1">
      <alignment horizontal="center" vertical="center"/>
    </xf>
    <xf numFmtId="10" fontId="2" fillId="4" borderId="1" xfId="0" applyNumberFormat="1" applyFont="1" applyFill="1" applyBorder="1" applyAlignment="1" applyProtection="1">
      <alignment horizontal="center" vertical="center"/>
    </xf>
    <xf numFmtId="4" fontId="1" fillId="3" borderId="1" xfId="0" applyNumberFormat="1" applyFont="1" applyFill="1" applyBorder="1" applyAlignment="1" applyProtection="1">
      <alignment horizontal="left" vertical="center"/>
    </xf>
    <xf numFmtId="4" fontId="1" fillId="3" borderId="1" xfId="0" applyNumberFormat="1" applyFont="1" applyFill="1" applyBorder="1" applyAlignment="1" applyProtection="1">
      <alignment horizontal="left" vertical="center" wrapText="1"/>
    </xf>
    <xf numFmtId="4" fontId="1" fillId="3" borderId="1" xfId="0" applyNumberFormat="1" applyFont="1" applyFill="1" applyBorder="1" applyAlignment="1" applyProtection="1">
      <alignment horizontal="center" vertical="center"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4" fontId="2" fillId="3" borderId="1" xfId="0" applyNumberFormat="1" applyFont="1" applyFill="1" applyBorder="1" applyAlignment="1" applyProtection="1">
      <alignment horizontal="left" vertical="center"/>
    </xf>
    <xf numFmtId="4" fontId="2" fillId="3" borderId="1" xfId="0" applyNumberFormat="1" applyFont="1" applyFill="1" applyBorder="1" applyAlignment="1" applyProtection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center" vertical="center" wrapText="1"/>
    </xf>
    <xf numFmtId="1" fontId="2" fillId="5" borderId="1" xfId="0" applyNumberFormat="1" applyFont="1" applyFill="1" applyBorder="1" applyAlignment="1" applyProtection="1">
      <alignment horizontal="center" vertical="center"/>
    </xf>
    <xf numFmtId="4" fontId="2" fillId="6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right" vertical="center"/>
    </xf>
  </cellXfs>
  <cellStyles count="1">
    <cellStyle name="Normalny" xfId="0" builtinId="0"/>
  </cellStyles>
  <dxfs count="12"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topLeftCell="C40" workbookViewId="0">
      <selection activeCell="T15" sqref="T15"/>
    </sheetView>
  </sheetViews>
  <sheetFormatPr defaultRowHeight="15" x14ac:dyDescent="0.25"/>
  <cols>
    <col min="1" max="1" width="7.140625" style="21" customWidth="1"/>
    <col min="2" max="2" width="42.85546875" style="21" customWidth="1"/>
    <col min="3" max="5" width="14.28515625" style="22" customWidth="1"/>
    <col min="6" max="7" width="14.28515625" style="23" customWidth="1"/>
    <col min="8" max="8" width="11.42578125" style="23" customWidth="1"/>
    <col min="9" max="9" width="13.5703125" style="23" customWidth="1"/>
    <col min="10" max="10" width="12" style="23" customWidth="1"/>
    <col min="11" max="11" width="12.28515625" style="23" customWidth="1"/>
    <col min="12" max="12" width="11.5703125" style="23" customWidth="1"/>
    <col min="13" max="14" width="10.5703125" style="23" customWidth="1"/>
    <col min="15" max="15" width="14.85546875" style="23" customWidth="1"/>
    <col min="16" max="16" width="12.85546875" style="23" customWidth="1"/>
    <col min="17" max="17" width="13.140625" style="23" customWidth="1"/>
    <col min="18" max="18" width="14.28515625" style="3" customWidth="1"/>
    <col min="19" max="19" width="14.28515625" style="22" customWidth="1"/>
    <col min="20" max="20" width="14.28515625" style="23" customWidth="1"/>
    <col min="21" max="21" width="14.28515625" style="22" customWidth="1"/>
    <col min="22" max="16384" width="9.140625" style="2"/>
  </cols>
  <sheetData>
    <row r="1" spans="1:21" ht="4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" t="s">
        <v>17</v>
      </c>
      <c r="S1" s="4" t="s">
        <v>18</v>
      </c>
      <c r="T1" s="4" t="s">
        <v>19</v>
      </c>
      <c r="U1" s="4" t="s">
        <v>20</v>
      </c>
    </row>
    <row r="2" spans="1:21" ht="14.25" customHeight="1" x14ac:dyDescent="0.25">
      <c r="A2" s="12" t="s">
        <v>21</v>
      </c>
      <c r="B2" s="13" t="s">
        <v>22</v>
      </c>
      <c r="C2" s="14"/>
      <c r="D2" s="15"/>
      <c r="E2" s="15"/>
      <c r="F2" s="5">
        <f>IF(ISNUMBER(VLOOKUP("1.1",A2:U55,6,FALSE)),ROUND(VLOOKUP("1.1",A2:U55,6,FALSE),4),0) + IF(ISNUMBER(VLOOKUP("1.2",A2:U55,6,FALSE)),ROUND(VLOOKUP("1.2",A2:U55,6,FALSE),4),0) + IF(ISNUMBER(VLOOKUP("1.3",A2:U55,6,FALSE)),ROUND(VLOOKUP("1.3",A2:U55,6,FALSE),4),0)</f>
        <v>219414172.91</v>
      </c>
      <c r="G2" s="5">
        <f>IF(ISNUMBER(VLOOKUP("1.1",A2:U55,7,FALSE)),ROUND(VLOOKUP("1.1",A2:U55,7,FALSE),4),0) + IF(ISNUMBER(VLOOKUP("1.2",A2:U55,7,FALSE)),ROUND(VLOOKUP("1.2",A2:U55,7,FALSE),4),0) + IF(ISNUMBER(VLOOKUP("1.3",A2:U55,7,FALSE)),ROUND(VLOOKUP("1.3",A2:U55,7,FALSE),4),0)</f>
        <v>26365171.02</v>
      </c>
      <c r="H2" s="6">
        <f>IF(ISNUMBER(VLOOKUP("1.1",A2:U55,8,FALSE)),ROUND(VLOOKUP("1.1",A2:U55,8,FALSE),4),0) + IF(ISNUMBER(VLOOKUP("1.2",A2:U55,8,FALSE)),ROUND(VLOOKUP("1.2",A2:U55,8,FALSE),4),0) + IF(ISNUMBER(VLOOKUP("1.3",A2:U55,8,FALSE)),ROUND(VLOOKUP("1.3",A2:U55,8,FALSE),4),0)</f>
        <v>114672015.75</v>
      </c>
      <c r="I2" s="6">
        <f>IF(ISNUMBER(VLOOKUP("1.1",A2:U55,9,FALSE)),ROUND(VLOOKUP("1.1",A2:U55,9,FALSE),4),0) + IF(ISNUMBER(VLOOKUP("1.2",A2:U55,9,FALSE)),ROUND(VLOOKUP("1.2",A2:U55,9,FALSE),4),0) + IF(ISNUMBER(VLOOKUP("1.3",A2:U55,9,FALSE)),ROUND(VLOOKUP("1.3",A2:U55,9,FALSE),4),0)</f>
        <v>63014504.640000001</v>
      </c>
      <c r="J2" s="6">
        <f>IF(ISNUMBER(VLOOKUP("1.1",A2:U55,10,FALSE)),ROUND(VLOOKUP("1.1",A2:U55,10,FALSE),4),0) + IF(ISNUMBER(VLOOKUP("1.2",A2:U55,10,FALSE)),ROUND(VLOOKUP("1.2",A2:U55,10,FALSE),4),0) + IF(ISNUMBER(VLOOKUP("1.3",A2:U55,10,FALSE)),ROUND(VLOOKUP("1.3",A2:U55,10,FALSE),4),0)</f>
        <v>1457158</v>
      </c>
      <c r="K2" s="6">
        <f>IF(ISNUMBER(VLOOKUP("1.1",A2:U55,11,FALSE)),ROUND(VLOOKUP("1.1",A2:U55,11,FALSE),4),0) + IF(ISNUMBER(VLOOKUP("1.2",A2:U55,11,FALSE)),ROUND(VLOOKUP("1.2",A2:U55,11,FALSE),4),0) + IF(ISNUMBER(VLOOKUP("1.3",A2:U55,11,FALSE)),ROUND(VLOOKUP("1.3",A2:U55,11,FALSE),4),0)</f>
        <v>1037442</v>
      </c>
      <c r="L2" s="6">
        <f>IF(ISNUMBER(VLOOKUP("1.1",A2:U55,12,FALSE)),ROUND(VLOOKUP("1.1",A2:U55,12,FALSE),4),0) + IF(ISNUMBER(VLOOKUP("1.2",A2:U55,12,FALSE)),ROUND(VLOOKUP("1.2",A2:U55,12,FALSE),4),0) + IF(ISNUMBER(VLOOKUP("1.3",A2:U55,12,FALSE)),ROUND(VLOOKUP("1.3",A2:U55,12,FALSE),4),0)</f>
        <v>978705</v>
      </c>
      <c r="M2" s="6">
        <f>IF(ISNUMBER(VLOOKUP("1.1",A2:U55,13,FALSE)),ROUND(VLOOKUP("1.1",A2:U55,13,FALSE),4),0) + IF(ISNUMBER(VLOOKUP("1.2",A2:U55,13,FALSE)),ROUND(VLOOKUP("1.2",A2:U55,13,FALSE),4),0) + IF(ISNUMBER(VLOOKUP("1.3",A2:U55,13,FALSE)),ROUND(VLOOKUP("1.3",A2:U55,13,FALSE),4),0)</f>
        <v>970157</v>
      </c>
      <c r="N2" s="6">
        <f>IF(ISNUMBER(VLOOKUP("1.1",A2:U55,14,FALSE)),ROUND(VLOOKUP("1.1",A2:U55,14,FALSE),4),0) + IF(ISNUMBER(VLOOKUP("1.2",A2:U55,14,FALSE)),ROUND(VLOOKUP("1.2",A2:U55,14,FALSE),4),0) + IF(ISNUMBER(VLOOKUP("1.3",A2:U55,14,FALSE)),ROUND(VLOOKUP("1.3",A2:U55,14,FALSE),4),0)</f>
        <v>918538</v>
      </c>
      <c r="O2" s="6">
        <f>IF(ISNUMBER(VLOOKUP("1.1",A2:U55,15,FALSE)),ROUND(VLOOKUP("1.1",A2:U55,15,FALSE),4),0) + IF(ISNUMBER(VLOOKUP("1.2",A2:U55,15,FALSE)),ROUND(VLOOKUP("1.2",A2:U55,15,FALSE),4),0) + IF(ISNUMBER(VLOOKUP("1.3",A2:U55,15,FALSE)),ROUND(VLOOKUP("1.3",A2:U55,15,FALSE),4),0)</f>
        <v>867873</v>
      </c>
      <c r="P2" s="6">
        <f>IF(ISNUMBER(VLOOKUP("1.1",A2:U55,16,FALSE)),ROUND(VLOOKUP("1.1",A2:U55,16,FALSE),4),0) + IF(ISNUMBER(VLOOKUP("1.2",A2:U55,16,FALSE)),ROUND(VLOOKUP("1.2",A2:U55,16,FALSE),4),0) + IF(ISNUMBER(VLOOKUP("1.3",A2:U55,16,FALSE)),ROUND(VLOOKUP("1.3",A2:U55,16,FALSE),4),0)</f>
        <v>846204</v>
      </c>
      <c r="Q2" s="6">
        <f>IF(ISNUMBER(VLOOKUP("1.1",A2:U55,17,FALSE)),ROUND(VLOOKUP("1.1",A2:U55,17,FALSE),4),0) + IF(ISNUMBER(VLOOKUP("1.2",A2:U55,17,FALSE)),ROUND(VLOOKUP("1.2",A2:U55,17,FALSE),4),0) + IF(ISNUMBER(VLOOKUP("1.3",A2:U55,17,FALSE)),ROUND(VLOOKUP("1.3",A2:U55,17,FALSE),4),0)</f>
        <v>834561</v>
      </c>
      <c r="R2" s="6">
        <f>IF(ISNUMBER(VLOOKUP("1.1",A2:U55,18,FALSE)),ROUND(VLOOKUP("1.1",A2:U55,18,FALSE),4),0) + IF(ISNUMBER(VLOOKUP("1.2",A2:U55,18,FALSE)),ROUND(VLOOKUP("1.2",A2:U55,18,FALSE),4),0) + IF(ISNUMBER(VLOOKUP("1.3",A2:U55,18,FALSE)),ROUND(VLOOKUP("1.3",A2:U55,18,FALSE),4),0)</f>
        <v>0</v>
      </c>
      <c r="S2" s="10">
        <f t="shared" ref="S2:S54" si="0">IF($G2=0,0,$R2/$G2)</f>
        <v>0</v>
      </c>
      <c r="T2" s="6">
        <f t="shared" ref="T2:T54" si="1">$F2-($G2-$R2)-SUM($H2:$Q2)</f>
        <v>7451843.5</v>
      </c>
      <c r="U2" s="10">
        <f t="shared" ref="U2:U54" si="2">IF($F2=0,0,$T2/$F2)</f>
        <v>3.3962452840531052E-2</v>
      </c>
    </row>
    <row r="3" spans="1:21" ht="14.25" customHeight="1" x14ac:dyDescent="0.25">
      <c r="A3" s="12" t="s">
        <v>23</v>
      </c>
      <c r="B3" s="13" t="s">
        <v>24</v>
      </c>
      <c r="C3" s="14"/>
      <c r="D3" s="15"/>
      <c r="E3" s="15"/>
      <c r="F3" s="5">
        <f>IF(ISNUMBER(VLOOKUP("1.1.1",A2:U55,6,FALSE)),ROUND(VLOOKUP("1.1.1",A2:U55,6,FALSE),4),0) + IF(ISNUMBER(VLOOKUP("1.2.1",A2:U55,6,FALSE)),ROUND(VLOOKUP("1.2.1",A2:U55,6,FALSE),4),0) + IF(ISNUMBER(VLOOKUP("1.3.1",A2:U55,6,FALSE)),ROUND(VLOOKUP("1.3.1",A2:U55,6,FALSE),4),0)</f>
        <v>22060292.199999999</v>
      </c>
      <c r="G3" s="5">
        <f>IF(ISNUMBER(VLOOKUP("1.1.1",A2:U55,7,FALSE)),ROUND(VLOOKUP("1.1.1",A2:U55,7,FALSE),4),0) + IF(ISNUMBER(VLOOKUP("1.2.1",A2:U55,7,FALSE)),ROUND(VLOOKUP("1.2.1",A2:U55,7,FALSE),4),0) + IF(ISNUMBER(VLOOKUP("1.3.1",A2:U55,7,FALSE)),ROUND(VLOOKUP("1.3.1",A2:U55,7,FALSE),4),0)</f>
        <v>2921367.67</v>
      </c>
      <c r="H3" s="6">
        <f>IF(ISNUMBER(VLOOKUP("1.1.1",A2:U55,8,FALSE)),ROUND(VLOOKUP("1.1.1",A2:U55,8,FALSE),4),0) + IF(ISNUMBER(VLOOKUP("1.2.1",A2:U55,8,FALSE)),ROUND(VLOOKUP("1.2.1",A2:U55,8,FALSE),4),0) + IF(ISNUMBER(VLOOKUP("1.3.1",A2:U55,8,FALSE)),ROUND(VLOOKUP("1.3.1",A2:U55,8,FALSE),4),0)</f>
        <v>2228896.0299999998</v>
      </c>
      <c r="I3" s="6">
        <f>IF(ISNUMBER(VLOOKUP("1.1.1",A2:U55,9,FALSE)),ROUND(VLOOKUP("1.1.1",A2:U55,9,FALSE),4),0) + IF(ISNUMBER(VLOOKUP("1.2.1",A2:U55,9,FALSE)),ROUND(VLOOKUP("1.2.1",A2:U55,9,FALSE),4),0) + IF(ISNUMBER(VLOOKUP("1.3.1",A2:U55,9,FALSE)),ROUND(VLOOKUP("1.3.1",A2:U55,9,FALSE),4),0)</f>
        <v>1838196</v>
      </c>
      <c r="J3" s="6">
        <f>IF(ISNUMBER(VLOOKUP("1.1.1",A2:U55,10,FALSE)),ROUND(VLOOKUP("1.1.1",A2:U55,10,FALSE),4),0) + IF(ISNUMBER(VLOOKUP("1.2.1",A2:U55,10,FALSE)),ROUND(VLOOKUP("1.2.1",A2:U55,10,FALSE),4),0) + IF(ISNUMBER(VLOOKUP("1.3.1",A2:U55,10,FALSE)),ROUND(VLOOKUP("1.3.1",A2:U55,10,FALSE),4),0)</f>
        <v>1457158</v>
      </c>
      <c r="K3" s="6">
        <f>IF(ISNUMBER(VLOOKUP("1.1.1",A2:U55,11,FALSE)),ROUND(VLOOKUP("1.1.1",A2:U55,11,FALSE),4),0) + IF(ISNUMBER(VLOOKUP("1.2.1",A2:U55,11,FALSE)),ROUND(VLOOKUP("1.2.1",A2:U55,11,FALSE),4),0) + IF(ISNUMBER(VLOOKUP("1.3.1",A2:U55,11,FALSE)),ROUND(VLOOKUP("1.3.1",A2:U55,11,FALSE),4),0)</f>
        <v>1037442</v>
      </c>
      <c r="L3" s="6">
        <f>IF(ISNUMBER(VLOOKUP("1.1.1",A2:U55,12,FALSE)),ROUND(VLOOKUP("1.1.1",A2:U55,12,FALSE),4),0) + IF(ISNUMBER(VLOOKUP("1.2.1",A2:U55,12,FALSE)),ROUND(VLOOKUP("1.2.1",A2:U55,12,FALSE),4),0) + IF(ISNUMBER(VLOOKUP("1.3.1",A2:U55,12,FALSE)),ROUND(VLOOKUP("1.3.1",A2:U55,12,FALSE),4),0)</f>
        <v>978705</v>
      </c>
      <c r="M3" s="6">
        <f>IF(ISNUMBER(VLOOKUP("1.1.1",A2:U55,13,FALSE)),ROUND(VLOOKUP("1.1.1",A2:U55,13,FALSE),4),0) + IF(ISNUMBER(VLOOKUP("1.2.1",A2:U55,13,FALSE)),ROUND(VLOOKUP("1.2.1",A2:U55,13,FALSE),4),0) + IF(ISNUMBER(VLOOKUP("1.3.1",A2:U55,13,FALSE)),ROUND(VLOOKUP("1.3.1",A2:U55,13,FALSE),4),0)</f>
        <v>970157</v>
      </c>
      <c r="N3" s="6">
        <f>IF(ISNUMBER(VLOOKUP("1.1.1",A2:U55,14,FALSE)),ROUND(VLOOKUP("1.1.1",A2:U55,14,FALSE),4),0) + IF(ISNUMBER(VLOOKUP("1.2.1",A2:U55,14,FALSE)),ROUND(VLOOKUP("1.2.1",A2:U55,14,FALSE),4),0) + IF(ISNUMBER(VLOOKUP("1.3.1",A2:U55,14,FALSE)),ROUND(VLOOKUP("1.3.1",A2:U55,14,FALSE),4),0)</f>
        <v>918538</v>
      </c>
      <c r="O3" s="6">
        <f>IF(ISNUMBER(VLOOKUP("1.1.1",A2:U55,15,FALSE)),ROUND(VLOOKUP("1.1.1",A2:U55,15,FALSE),4),0) + IF(ISNUMBER(VLOOKUP("1.2.1",A2:U55,15,FALSE)),ROUND(VLOOKUP("1.2.1",A2:U55,15,FALSE),4),0) + IF(ISNUMBER(VLOOKUP("1.3.1",A2:U55,15,FALSE)),ROUND(VLOOKUP("1.3.1",A2:U55,15,FALSE),4),0)</f>
        <v>867873</v>
      </c>
      <c r="P3" s="6">
        <f>IF(ISNUMBER(VLOOKUP("1.1.1",A2:U55,16,FALSE)),ROUND(VLOOKUP("1.1.1",A2:U55,16,FALSE),4),0) + IF(ISNUMBER(VLOOKUP("1.2.1",A2:U55,16,FALSE)),ROUND(VLOOKUP("1.2.1",A2:U55,16,FALSE),4),0) + IF(ISNUMBER(VLOOKUP("1.3.1",A2:U55,16,FALSE)),ROUND(VLOOKUP("1.3.1",A2:U55,16,FALSE),4),0)</f>
        <v>846204</v>
      </c>
      <c r="Q3" s="6">
        <f>IF(ISNUMBER(VLOOKUP("1.1.1",A2:U55,17,FALSE)),ROUND(VLOOKUP("1.1.1",A2:U55,17,FALSE),4),0) + IF(ISNUMBER(VLOOKUP("1.2.1",A2:U55,17,FALSE)),ROUND(VLOOKUP("1.2.1",A2:U55,17,FALSE),4),0) + IF(ISNUMBER(VLOOKUP("1.3.1",A2:U55,17,FALSE)),ROUND(VLOOKUP("1.3.1",A2:U55,17,FALSE),4),0)</f>
        <v>834561</v>
      </c>
      <c r="R3" s="6">
        <f>IF(ISNUMBER(VLOOKUP("1.1.1",A2:U55,18,FALSE)),ROUND(VLOOKUP("1.1.1",A2:U55,18,FALSE),4),0) + IF(ISNUMBER(VLOOKUP("1.2.1",A2:U55,18,FALSE)),ROUND(VLOOKUP("1.2.1",A2:U55,18,FALSE),4),0) + IF(ISNUMBER(VLOOKUP("1.3.1",A2:U55,18,FALSE)),ROUND(VLOOKUP("1.3.1",A2:U55,18,FALSE),4),0)</f>
        <v>0</v>
      </c>
      <c r="S3" s="10">
        <f t="shared" si="0"/>
        <v>0</v>
      </c>
      <c r="T3" s="6">
        <f t="shared" si="1"/>
        <v>7161194.5000000019</v>
      </c>
      <c r="U3" s="10">
        <f t="shared" si="2"/>
        <v>0.32461920427327806</v>
      </c>
    </row>
    <row r="4" spans="1:21" ht="14.25" customHeight="1" x14ac:dyDescent="0.25">
      <c r="A4" s="12" t="s">
        <v>25</v>
      </c>
      <c r="B4" s="13" t="s">
        <v>26</v>
      </c>
      <c r="C4" s="14"/>
      <c r="D4" s="15"/>
      <c r="E4" s="15"/>
      <c r="F4" s="5">
        <f>IF(ISNUMBER(VLOOKUP("1.1.2",A2:U55,6,FALSE)),ROUND(VLOOKUP("1.1.2",A2:U55,6,FALSE),4),0) + IF(ISNUMBER(VLOOKUP("1.2.2",A2:U55,6,FALSE)),ROUND(VLOOKUP("1.2.2",A2:U55,6,FALSE),4),0) + IF(ISNUMBER(VLOOKUP("1.3.2",A2:U55,6,FALSE)),ROUND(VLOOKUP("1.3.2",A2:U55,6,FALSE),4),0)</f>
        <v>197353880.71000001</v>
      </c>
      <c r="G4" s="5">
        <f>IF(ISNUMBER(VLOOKUP("1.1.2",A2:U55,7,FALSE)),ROUND(VLOOKUP("1.1.2",A2:U55,7,FALSE),4),0) + IF(ISNUMBER(VLOOKUP("1.2.2",A2:U55,7,FALSE)),ROUND(VLOOKUP("1.2.2",A2:U55,7,FALSE),4),0) + IF(ISNUMBER(VLOOKUP("1.3.2",A2:U55,7,FALSE)),ROUND(VLOOKUP("1.3.2",A2:U55,7,FALSE),4),0)</f>
        <v>23443803.350000001</v>
      </c>
      <c r="H4" s="6">
        <f>IF(ISNUMBER(VLOOKUP("1.1.2",A2:U55,8,FALSE)),ROUND(VLOOKUP("1.1.2",A2:U55,8,FALSE),4),0) + IF(ISNUMBER(VLOOKUP("1.2.2",A2:U55,8,FALSE)),ROUND(VLOOKUP("1.2.2",A2:U55,8,FALSE),4),0) + IF(ISNUMBER(VLOOKUP("1.3.2",A2:U55,8,FALSE)),ROUND(VLOOKUP("1.3.2",A2:U55,8,FALSE),4),0)</f>
        <v>112443119.72</v>
      </c>
      <c r="I4" s="6">
        <f>IF(ISNUMBER(VLOOKUP("1.1.2",A2:U55,9,FALSE)),ROUND(VLOOKUP("1.1.2",A2:U55,9,FALSE),4),0) + IF(ISNUMBER(VLOOKUP("1.2.2",A2:U55,9,FALSE)),ROUND(VLOOKUP("1.2.2",A2:U55,9,FALSE),4),0) + IF(ISNUMBER(VLOOKUP("1.3.2",A2:U55,9,FALSE)),ROUND(VLOOKUP("1.3.2",A2:U55,9,FALSE),4),0)</f>
        <v>61176308.640000001</v>
      </c>
      <c r="J4" s="6">
        <f>IF(ISNUMBER(VLOOKUP("1.1.2",A2:U55,10,FALSE)),ROUND(VLOOKUP("1.1.2",A2:U55,10,FALSE),4),0) + IF(ISNUMBER(VLOOKUP("1.2.2",A2:U55,10,FALSE)),ROUND(VLOOKUP("1.2.2",A2:U55,10,FALSE),4),0) + IF(ISNUMBER(VLOOKUP("1.3.2",A2:U55,10,FALSE)),ROUND(VLOOKUP("1.3.2",A2:U55,10,FALSE),4),0)</f>
        <v>0</v>
      </c>
      <c r="K4" s="6">
        <f>IF(ISNUMBER(VLOOKUP("1.1.2",A2:U55,11,FALSE)),ROUND(VLOOKUP("1.1.2",A2:U55,11,FALSE),4),0) + IF(ISNUMBER(VLOOKUP("1.2.2",A2:U55,11,FALSE)),ROUND(VLOOKUP("1.2.2",A2:U55,11,FALSE),4),0) + IF(ISNUMBER(VLOOKUP("1.3.2",A2:U55,11,FALSE)),ROUND(VLOOKUP("1.3.2",A2:U55,11,FALSE),4),0)</f>
        <v>0</v>
      </c>
      <c r="L4" s="6">
        <f>IF(ISNUMBER(VLOOKUP("1.1.2",A2:U55,12,FALSE)),ROUND(VLOOKUP("1.1.2",A2:U55,12,FALSE),4),0) + IF(ISNUMBER(VLOOKUP("1.2.2",A2:U55,12,FALSE)),ROUND(VLOOKUP("1.2.2",A2:U55,12,FALSE),4),0) + IF(ISNUMBER(VLOOKUP("1.3.2",A2:U55,12,FALSE)),ROUND(VLOOKUP("1.3.2",A2:U55,12,FALSE),4),0)</f>
        <v>0</v>
      </c>
      <c r="M4" s="6">
        <f>IF(ISNUMBER(VLOOKUP("1.1.2",A2:U55,13,FALSE)),ROUND(VLOOKUP("1.1.2",A2:U55,13,FALSE),4),0) + IF(ISNUMBER(VLOOKUP("1.2.2",A2:U55,13,FALSE)),ROUND(VLOOKUP("1.2.2",A2:U55,13,FALSE),4),0) + IF(ISNUMBER(VLOOKUP("1.3.2",A2:U55,13,FALSE)),ROUND(VLOOKUP("1.3.2",A2:U55,13,FALSE),4),0)</f>
        <v>0</v>
      </c>
      <c r="N4" s="6">
        <f>IF(ISNUMBER(VLOOKUP("1.1.2",A2:U55,14,FALSE)),ROUND(VLOOKUP("1.1.2",A2:U55,14,FALSE),4),0) + IF(ISNUMBER(VLOOKUP("1.2.2",A2:U55,14,FALSE)),ROUND(VLOOKUP("1.2.2",A2:U55,14,FALSE),4),0) + IF(ISNUMBER(VLOOKUP("1.3.2",A2:U55,14,FALSE)),ROUND(VLOOKUP("1.3.2",A2:U55,14,FALSE),4),0)</f>
        <v>0</v>
      </c>
      <c r="O4" s="6">
        <f>IF(ISNUMBER(VLOOKUP("1.1.2",A2:U55,15,FALSE)),ROUND(VLOOKUP("1.1.2",A2:U55,15,FALSE),4),0) + IF(ISNUMBER(VLOOKUP("1.2.2",A2:U55,15,FALSE)),ROUND(VLOOKUP("1.2.2",A2:U55,15,FALSE),4),0) + IF(ISNUMBER(VLOOKUP("1.3.2",A2:U55,15,FALSE)),ROUND(VLOOKUP("1.3.2",A2:U55,15,FALSE),4),0)</f>
        <v>0</v>
      </c>
      <c r="P4" s="6">
        <f>IF(ISNUMBER(VLOOKUP("1.1.2",A2:U55,16,FALSE)),ROUND(VLOOKUP("1.1.2",A2:U55,16,FALSE),4),0) + IF(ISNUMBER(VLOOKUP("1.2.2",A2:U55,16,FALSE)),ROUND(VLOOKUP("1.2.2",A2:U55,16,FALSE),4),0) + IF(ISNUMBER(VLOOKUP("1.3.2",A2:U55,16,FALSE)),ROUND(VLOOKUP("1.3.2",A2:U55,16,FALSE),4),0)</f>
        <v>0</v>
      </c>
      <c r="Q4" s="6">
        <f>IF(ISNUMBER(VLOOKUP("1.1.2",A2:U55,17,FALSE)),ROUND(VLOOKUP("1.1.2",A2:U55,17,FALSE),4),0) + IF(ISNUMBER(VLOOKUP("1.2.2",A2:U55,17,FALSE)),ROUND(VLOOKUP("1.2.2",A2:U55,17,FALSE),4),0) + IF(ISNUMBER(VLOOKUP("1.3.2",A2:U55,17,FALSE)),ROUND(VLOOKUP("1.3.2",A2:U55,17,FALSE),4),0)</f>
        <v>0</v>
      </c>
      <c r="R4" s="6">
        <f>IF(ISNUMBER(VLOOKUP("1.1.2",A2:U55,18,FALSE)),ROUND(VLOOKUP("1.1.2",A2:U55,18,FALSE),4),0) + IF(ISNUMBER(VLOOKUP("1.2.2",A2:U55,18,FALSE)),ROUND(VLOOKUP("1.2.2",A2:U55,18,FALSE),4),0) + IF(ISNUMBER(VLOOKUP("1.3.2",A2:U55,18,FALSE)),ROUND(VLOOKUP("1.3.2",A2:U55,18,FALSE),4),0)</f>
        <v>0</v>
      </c>
      <c r="S4" s="10">
        <f t="shared" si="0"/>
        <v>0</v>
      </c>
      <c r="T4" s="6">
        <f t="shared" si="1"/>
        <v>290649</v>
      </c>
      <c r="U4" s="10">
        <f t="shared" si="2"/>
        <v>1.4727300976011297E-3</v>
      </c>
    </row>
    <row r="5" spans="1:21" ht="65.650000000000006" customHeight="1" x14ac:dyDescent="0.25">
      <c r="A5" s="12" t="s">
        <v>27</v>
      </c>
      <c r="B5" s="13" t="s">
        <v>28</v>
      </c>
      <c r="C5" s="14"/>
      <c r="D5" s="15"/>
      <c r="E5" s="15"/>
      <c r="F5" s="5">
        <f>IF(ISNUMBER(VLOOKUP("1.1.1",A2:U55,6,FALSE)),ROUND(VLOOKUP("1.1.1",A2:U55,6,FALSE),4),0) + IF(ISNUMBER(VLOOKUP("1.1.2",A2:U55,6,FALSE)),ROUND(VLOOKUP("1.1.2",A2:U55,6,FALSE),4),0)</f>
        <v>106353.62</v>
      </c>
      <c r="G5" s="5">
        <f>IF(ISNUMBER(VLOOKUP("1.1.1",A2:U55,7,FALSE)),ROUND(VLOOKUP("1.1.1",A2:U55,7,FALSE),4),0) + IF(ISNUMBER(VLOOKUP("1.1.2",A2:U55,7,FALSE)),ROUND(VLOOKUP("1.1.2",A2:U55,7,FALSE),4),0)</f>
        <v>20727.59</v>
      </c>
      <c r="H5" s="6">
        <f>IF(ISNUMBER(VLOOKUP("1.1.1",A2:U55,8,FALSE)),ROUND(VLOOKUP("1.1.1",A2:U55,8,FALSE),4),0) + IF(ISNUMBER(VLOOKUP("1.1.2",A2:U55,8,FALSE)),ROUND(VLOOKUP("1.1.2",A2:U55,8,FALSE),4),0)</f>
        <v>85626.03</v>
      </c>
      <c r="I5" s="6">
        <f>IF(ISNUMBER(VLOOKUP("1.1.1",A2:U55,9,FALSE)),ROUND(VLOOKUP("1.1.1",A2:U55,9,FALSE),4),0) + IF(ISNUMBER(VLOOKUP("1.1.2",A2:U55,9,FALSE)),ROUND(VLOOKUP("1.1.2",A2:U55,9,FALSE),4),0)</f>
        <v>0</v>
      </c>
      <c r="J5" s="6">
        <f>IF(ISNUMBER(VLOOKUP("1.1.1",A2:U55,10,FALSE)),ROUND(VLOOKUP("1.1.1",A2:U55,10,FALSE),4),0) + IF(ISNUMBER(VLOOKUP("1.1.2",A2:U55,10,FALSE)),ROUND(VLOOKUP("1.1.2",A2:U55,10,FALSE),4),0)</f>
        <v>0</v>
      </c>
      <c r="K5" s="6">
        <f>IF(ISNUMBER(VLOOKUP("1.1.1",A2:U55,11,FALSE)),ROUND(VLOOKUP("1.1.1",A2:U55,11,FALSE),4),0) + IF(ISNUMBER(VLOOKUP("1.1.2",A2:U55,11,FALSE)),ROUND(VLOOKUP("1.1.2",A2:U55,11,FALSE),4),0)</f>
        <v>0</v>
      </c>
      <c r="L5" s="6">
        <f>IF(ISNUMBER(VLOOKUP("1.1.1",A2:U55,12,FALSE)),ROUND(VLOOKUP("1.1.1",A2:U55,12,FALSE),4),0) + IF(ISNUMBER(VLOOKUP("1.1.2",A2:U55,12,FALSE)),ROUND(VLOOKUP("1.1.2",A2:U55,12,FALSE),4),0)</f>
        <v>0</v>
      </c>
      <c r="M5" s="6">
        <f>IF(ISNUMBER(VLOOKUP("1.1.1",A2:U55,13,FALSE)),ROUND(VLOOKUP("1.1.1",A2:U55,13,FALSE),4),0) + IF(ISNUMBER(VLOOKUP("1.1.2",A2:U55,13,FALSE)),ROUND(VLOOKUP("1.1.2",A2:U55,13,FALSE),4),0)</f>
        <v>0</v>
      </c>
      <c r="N5" s="6">
        <f>IF(ISNUMBER(VLOOKUP("1.1.1",A2:U55,14,FALSE)),ROUND(VLOOKUP("1.1.1",A2:U55,14,FALSE),4),0) + IF(ISNUMBER(VLOOKUP("1.1.2",A2:U55,14,FALSE)),ROUND(VLOOKUP("1.1.2",A2:U55,14,FALSE),4),0)</f>
        <v>0</v>
      </c>
      <c r="O5" s="6">
        <f>IF(ISNUMBER(VLOOKUP("1.1.1",A2:U55,15,FALSE)),ROUND(VLOOKUP("1.1.1",A2:U55,15,FALSE),4),0) + IF(ISNUMBER(VLOOKUP("1.1.2",A2:U55,15,FALSE)),ROUND(VLOOKUP("1.1.2",A2:U55,15,FALSE),4),0)</f>
        <v>0</v>
      </c>
      <c r="P5" s="6">
        <f>IF(ISNUMBER(VLOOKUP("1.1.1",A2:U55,16,FALSE)),ROUND(VLOOKUP("1.1.1",A2:U55,16,FALSE),4),0) + IF(ISNUMBER(VLOOKUP("1.1.2",A2:U55,16,FALSE)),ROUND(VLOOKUP("1.1.2",A2:U55,16,FALSE),4),0)</f>
        <v>0</v>
      </c>
      <c r="Q5" s="6">
        <f>IF(ISNUMBER(VLOOKUP("1.1.1",A2:U55,17,FALSE)),ROUND(VLOOKUP("1.1.1",A2:U55,17,FALSE),4),0) + IF(ISNUMBER(VLOOKUP("1.1.2",A2:U55,17,FALSE)),ROUND(VLOOKUP("1.1.2",A2:U55,17,FALSE),4),0)</f>
        <v>0</v>
      </c>
      <c r="R5" s="6">
        <f>IF(ISNUMBER(VLOOKUP("1.1.1",A2:U55,18,FALSE)),ROUND(VLOOKUP("1.1.1",A2:U55,18,FALSE),4),0) + IF(ISNUMBER(VLOOKUP("1.1.2",A2:U55,18,FALSE)),ROUND(VLOOKUP("1.1.2",A2:U55,18,FALSE),4),0)</f>
        <v>0</v>
      </c>
      <c r="S5" s="10">
        <f t="shared" si="0"/>
        <v>0</v>
      </c>
      <c r="T5" s="6">
        <f t="shared" si="1"/>
        <v>0</v>
      </c>
      <c r="U5" s="10">
        <f t="shared" si="2"/>
        <v>0</v>
      </c>
    </row>
    <row r="6" spans="1:21" ht="14.25" customHeight="1" x14ac:dyDescent="0.25">
      <c r="A6" s="12" t="s">
        <v>29</v>
      </c>
      <c r="B6" s="13" t="s">
        <v>24</v>
      </c>
      <c r="C6" s="14"/>
      <c r="D6" s="15"/>
      <c r="E6" s="15"/>
      <c r="F6" s="5">
        <f>SUMIF(A7:A55, "1.1.1.*", F7:F55)</f>
        <v>106353.62</v>
      </c>
      <c r="G6" s="5">
        <f>SUMIF(A7:A55, "1.1.1.*", G7:G55)</f>
        <v>20727.59</v>
      </c>
      <c r="H6" s="6">
        <f>SUMIF(A7:A55, "1.1.1.*", H7:H55)</f>
        <v>85626.03</v>
      </c>
      <c r="I6" s="6">
        <f>SUMIF(A7:A55, "1.1.1.*", I7:I55)</f>
        <v>0</v>
      </c>
      <c r="J6" s="6">
        <f>SUMIF(A7:A55, "1.1.1.*", J7:J55)</f>
        <v>0</v>
      </c>
      <c r="K6" s="6">
        <f>SUMIF(A7:A55, "1.1.1.*", K7:K55)</f>
        <v>0</v>
      </c>
      <c r="L6" s="6">
        <f>SUMIF(A7:A55, "1.1.1.*", L7:L55)</f>
        <v>0</v>
      </c>
      <c r="M6" s="6">
        <f>SUMIF(A7:A55, "1.1.1.*", M7:M55)</f>
        <v>0</v>
      </c>
      <c r="N6" s="6">
        <f>SUMIF(A7:A55, "1.1.1.*", N7:N55)</f>
        <v>0</v>
      </c>
      <c r="O6" s="6">
        <f>SUMIF(A7:A55, "1.1.1.*", O7:O55)</f>
        <v>0</v>
      </c>
      <c r="P6" s="6">
        <f>SUMIF(A7:A55, "1.1.1.*", P7:P55)</f>
        <v>0</v>
      </c>
      <c r="Q6" s="6">
        <f>SUMIF(A7:A55, "1.1.1.*", Q7:Q55)</f>
        <v>0</v>
      </c>
      <c r="R6" s="6">
        <f>SUMIF(A7:A55, "1.1.1.*", R7:R55)</f>
        <v>0</v>
      </c>
      <c r="S6" s="10">
        <f t="shared" si="0"/>
        <v>0</v>
      </c>
      <c r="T6" s="6">
        <f t="shared" si="1"/>
        <v>0</v>
      </c>
      <c r="U6" s="10">
        <f t="shared" si="2"/>
        <v>0</v>
      </c>
    </row>
    <row r="7" spans="1:21" ht="52.9" customHeight="1" x14ac:dyDescent="0.25">
      <c r="A7" s="16" t="s">
        <v>30</v>
      </c>
      <c r="B7" s="17" t="s">
        <v>31</v>
      </c>
      <c r="C7" s="18" t="s">
        <v>32</v>
      </c>
      <c r="D7" s="19">
        <v>2024</v>
      </c>
      <c r="E7" s="19">
        <v>2025</v>
      </c>
      <c r="F7" s="7">
        <v>106353.62</v>
      </c>
      <c r="G7" s="7">
        <v>20727.59</v>
      </c>
      <c r="H7" s="8">
        <v>85626.03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20">
        <v>0</v>
      </c>
      <c r="S7" s="11">
        <f t="shared" si="0"/>
        <v>0</v>
      </c>
      <c r="T7" s="8">
        <f t="shared" si="1"/>
        <v>0</v>
      </c>
      <c r="U7" s="11">
        <f t="shared" si="2"/>
        <v>0</v>
      </c>
    </row>
    <row r="8" spans="1:21" ht="14.25" customHeight="1" x14ac:dyDescent="0.25">
      <c r="A8" s="12" t="s">
        <v>33</v>
      </c>
      <c r="B8" s="13" t="s">
        <v>26</v>
      </c>
      <c r="C8" s="14"/>
      <c r="D8" s="15"/>
      <c r="E8" s="15"/>
      <c r="F8" s="5">
        <f>SUMIF(A9:A55, "1.1.2.*", F9:F55)</f>
        <v>0</v>
      </c>
      <c r="G8" s="5">
        <f>SUMIF(A9:A55, "1.1.2.*", G9:G55)</f>
        <v>0</v>
      </c>
      <c r="H8" s="6">
        <f>SUMIF(A9:A55, "1.1.2.*", H9:H55)</f>
        <v>0</v>
      </c>
      <c r="I8" s="6">
        <f>SUMIF(A9:A55, "1.1.2.*", I9:I55)</f>
        <v>0</v>
      </c>
      <c r="J8" s="6">
        <f>SUMIF(A9:A55, "1.1.2.*", J9:J55)</f>
        <v>0</v>
      </c>
      <c r="K8" s="6">
        <f>SUMIF(A9:A55, "1.1.2.*", K9:K55)</f>
        <v>0</v>
      </c>
      <c r="L8" s="6">
        <f>SUMIF(A9:A55, "1.1.2.*", L9:L55)</f>
        <v>0</v>
      </c>
      <c r="M8" s="6">
        <f>SUMIF(A9:A55, "1.1.2.*", M9:M55)</f>
        <v>0</v>
      </c>
      <c r="N8" s="6">
        <f>SUMIF(A9:A55, "1.1.2.*", N9:N55)</f>
        <v>0</v>
      </c>
      <c r="O8" s="6">
        <f>SUMIF(A9:A55, "1.1.2.*", O9:O55)</f>
        <v>0</v>
      </c>
      <c r="P8" s="6">
        <f>SUMIF(A9:A55, "1.1.2.*", P9:P55)</f>
        <v>0</v>
      </c>
      <c r="Q8" s="6">
        <f>SUMIF(A9:A55, "1.1.2.*", Q9:Q55)</f>
        <v>0</v>
      </c>
      <c r="R8" s="6">
        <f>SUMIF(A9:A55, "1.1.2.*", R9:R55)</f>
        <v>0</v>
      </c>
      <c r="S8" s="10">
        <f t="shared" si="0"/>
        <v>0</v>
      </c>
      <c r="T8" s="6">
        <f t="shared" si="1"/>
        <v>0</v>
      </c>
      <c r="U8" s="10">
        <f t="shared" si="2"/>
        <v>0</v>
      </c>
    </row>
    <row r="9" spans="1:21" ht="27" customHeight="1" x14ac:dyDescent="0.25">
      <c r="A9" s="12" t="s">
        <v>34</v>
      </c>
      <c r="B9" s="13" t="s">
        <v>35</v>
      </c>
      <c r="C9" s="14"/>
      <c r="D9" s="15"/>
      <c r="E9" s="15"/>
      <c r="F9" s="5">
        <f>IF(ISNUMBER(VLOOKUP("1.2.1",A2:U55,6,FALSE)),ROUND(VLOOKUP("1.2.1",A2:U55,6,FALSE),4),0) + IF(ISNUMBER(VLOOKUP("1.2.2",A2:U55,6,FALSE)),ROUND(VLOOKUP("1.2.2",A2:U55,6,FALSE),4),0)</f>
        <v>0</v>
      </c>
      <c r="G9" s="5">
        <f>IF(ISNUMBER(VLOOKUP("1.2.1",A2:U55,7,FALSE)),ROUND(VLOOKUP("1.2.1",A2:U55,7,FALSE),4),0) + IF(ISNUMBER(VLOOKUP("1.2.2",A2:U55,7,FALSE)),ROUND(VLOOKUP("1.2.2",A2:U55,7,FALSE),4),0)</f>
        <v>0</v>
      </c>
      <c r="H9" s="6">
        <f>IF(ISNUMBER(VLOOKUP("1.2.1",A2:U55,8,FALSE)),ROUND(VLOOKUP("1.2.1",A2:U55,8,FALSE),4),0) + IF(ISNUMBER(VLOOKUP("1.2.2",A2:U55,8,FALSE)),ROUND(VLOOKUP("1.2.2",A2:U55,8,FALSE),4),0)</f>
        <v>0</v>
      </c>
      <c r="I9" s="6">
        <f>IF(ISNUMBER(VLOOKUP("1.2.1",A2:U55,9,FALSE)),ROUND(VLOOKUP("1.2.1",A2:U55,9,FALSE),4),0) + IF(ISNUMBER(VLOOKUP("1.2.2",A2:U55,9,FALSE)),ROUND(VLOOKUP("1.2.2",A2:U55,9,FALSE),4),0)</f>
        <v>0</v>
      </c>
      <c r="J9" s="6">
        <f>IF(ISNUMBER(VLOOKUP("1.2.1",A2:U55,10,FALSE)),ROUND(VLOOKUP("1.2.1",A2:U55,10,FALSE),4),0) + IF(ISNUMBER(VLOOKUP("1.2.2",A2:U55,10,FALSE)),ROUND(VLOOKUP("1.2.2",A2:U55,10,FALSE),4),0)</f>
        <v>0</v>
      </c>
      <c r="K9" s="6">
        <f>IF(ISNUMBER(VLOOKUP("1.2.1",A2:U55,11,FALSE)),ROUND(VLOOKUP("1.2.1",A2:U55,11,FALSE),4),0) + IF(ISNUMBER(VLOOKUP("1.2.2",A2:U55,11,FALSE)),ROUND(VLOOKUP("1.2.2",A2:U55,11,FALSE),4),0)</f>
        <v>0</v>
      </c>
      <c r="L9" s="6">
        <f>IF(ISNUMBER(VLOOKUP("1.2.1",A2:U55,12,FALSE)),ROUND(VLOOKUP("1.2.1",A2:U55,12,FALSE),4),0) + IF(ISNUMBER(VLOOKUP("1.2.2",A2:U55,12,FALSE)),ROUND(VLOOKUP("1.2.2",A2:U55,12,FALSE),4),0)</f>
        <v>0</v>
      </c>
      <c r="M9" s="6">
        <f>IF(ISNUMBER(VLOOKUP("1.2.1",A2:U55,13,FALSE)),ROUND(VLOOKUP("1.2.1",A2:U55,13,FALSE),4),0) + IF(ISNUMBER(VLOOKUP("1.2.2",A2:U55,13,FALSE)),ROUND(VLOOKUP("1.2.2",A2:U55,13,FALSE),4),0)</f>
        <v>0</v>
      </c>
      <c r="N9" s="6">
        <f>IF(ISNUMBER(VLOOKUP("1.2.1",A2:U55,14,FALSE)),ROUND(VLOOKUP("1.2.1",A2:U55,14,FALSE),4),0) + IF(ISNUMBER(VLOOKUP("1.2.2",A2:U55,14,FALSE)),ROUND(VLOOKUP("1.2.2",A2:U55,14,FALSE),4),0)</f>
        <v>0</v>
      </c>
      <c r="O9" s="6">
        <f>IF(ISNUMBER(VLOOKUP("1.2.1",A2:U55,15,FALSE)),ROUND(VLOOKUP("1.2.1",A2:U55,15,FALSE),4),0) + IF(ISNUMBER(VLOOKUP("1.2.2",A2:U55,15,FALSE)),ROUND(VLOOKUP("1.2.2",A2:U55,15,FALSE),4),0)</f>
        <v>0</v>
      </c>
      <c r="P9" s="6">
        <f>IF(ISNUMBER(VLOOKUP("1.2.1",A2:U55,16,FALSE)),ROUND(VLOOKUP("1.2.1",A2:U55,16,FALSE),4),0) + IF(ISNUMBER(VLOOKUP("1.2.2",A2:U55,16,FALSE)),ROUND(VLOOKUP("1.2.2",A2:U55,16,FALSE),4),0)</f>
        <v>0</v>
      </c>
      <c r="Q9" s="6">
        <f>IF(ISNUMBER(VLOOKUP("1.2.1",A2:U55,17,FALSE)),ROUND(VLOOKUP("1.2.1",A2:U55,17,FALSE),4),0) + IF(ISNUMBER(VLOOKUP("1.2.2",A2:U55,17,FALSE)),ROUND(VLOOKUP("1.2.2",A2:U55,17,FALSE),4),0)</f>
        <v>0</v>
      </c>
      <c r="R9" s="6">
        <f>IF(ISNUMBER(VLOOKUP("1.2.1",A2:U55,18,FALSE)),ROUND(VLOOKUP("1.2.1",A2:U55,18,FALSE),4),0) + IF(ISNUMBER(VLOOKUP("1.2.2",A2:U55,18,FALSE)),ROUND(VLOOKUP("1.2.2",A2:U55,18,FALSE),4),0)</f>
        <v>0</v>
      </c>
      <c r="S9" s="10">
        <f t="shared" si="0"/>
        <v>0</v>
      </c>
      <c r="T9" s="6">
        <f t="shared" si="1"/>
        <v>0</v>
      </c>
      <c r="U9" s="10">
        <f t="shared" si="2"/>
        <v>0</v>
      </c>
    </row>
    <row r="10" spans="1:21" ht="14.25" customHeight="1" x14ac:dyDescent="0.25">
      <c r="A10" s="12" t="s">
        <v>36</v>
      </c>
      <c r="B10" s="13" t="s">
        <v>24</v>
      </c>
      <c r="C10" s="14"/>
      <c r="D10" s="15"/>
      <c r="E10" s="15"/>
      <c r="F10" s="5">
        <f>SUMIF(A11:A55, "1.2.1.*", F11:F55)</f>
        <v>0</v>
      </c>
      <c r="G10" s="5">
        <f>SUMIF(A11:A55, "1.2.1.*", G11:G55)</f>
        <v>0</v>
      </c>
      <c r="H10" s="6">
        <f>SUMIF(A11:A55, "1.2.1.*", H11:H55)</f>
        <v>0</v>
      </c>
      <c r="I10" s="6">
        <f>SUMIF(A11:A55, "1.2.1.*", I11:I55)</f>
        <v>0</v>
      </c>
      <c r="J10" s="6">
        <f>SUMIF(A11:A55, "1.2.1.*", J11:J55)</f>
        <v>0</v>
      </c>
      <c r="K10" s="6">
        <f>SUMIF(A11:A55, "1.2.1.*", K11:K55)</f>
        <v>0</v>
      </c>
      <c r="L10" s="6">
        <f>SUMIF(A11:A55, "1.2.1.*", L11:L55)</f>
        <v>0</v>
      </c>
      <c r="M10" s="6">
        <f>SUMIF(A11:A55, "1.2.1.*", M11:M55)</f>
        <v>0</v>
      </c>
      <c r="N10" s="6">
        <f>SUMIF(A11:A55, "1.2.1.*", N11:N55)</f>
        <v>0</v>
      </c>
      <c r="O10" s="6">
        <f>SUMIF(A11:A55, "1.2.1.*", O11:O55)</f>
        <v>0</v>
      </c>
      <c r="P10" s="6">
        <f>SUMIF(A11:A55, "1.2.1.*", P11:P55)</f>
        <v>0</v>
      </c>
      <c r="Q10" s="6">
        <f>SUMIF(A11:A55, "1.2.1.*", Q11:Q55)</f>
        <v>0</v>
      </c>
      <c r="R10" s="6">
        <f>SUMIF(A11:A55, "1.2.1.*", R11:R55)</f>
        <v>0</v>
      </c>
      <c r="S10" s="10">
        <f t="shared" si="0"/>
        <v>0</v>
      </c>
      <c r="T10" s="6">
        <f t="shared" si="1"/>
        <v>0</v>
      </c>
      <c r="U10" s="10">
        <f t="shared" si="2"/>
        <v>0</v>
      </c>
    </row>
    <row r="11" spans="1:21" ht="14.25" customHeight="1" x14ac:dyDescent="0.25">
      <c r="A11" s="12" t="s">
        <v>37</v>
      </c>
      <c r="B11" s="13" t="s">
        <v>26</v>
      </c>
      <c r="C11" s="14"/>
      <c r="D11" s="15"/>
      <c r="E11" s="15"/>
      <c r="F11" s="5">
        <f>SUMIF(A12:A55, "1.2.2.*", F12:F55)</f>
        <v>0</v>
      </c>
      <c r="G11" s="5">
        <f>SUMIF(A12:A55, "1.2.2.*", G12:G55)</f>
        <v>0</v>
      </c>
      <c r="H11" s="6">
        <f>SUMIF(A12:A55, "1.2.2.*", H12:H55)</f>
        <v>0</v>
      </c>
      <c r="I11" s="6">
        <f>SUMIF(A12:A55, "1.2.2.*", I12:I55)</f>
        <v>0</v>
      </c>
      <c r="J11" s="6">
        <f>SUMIF(A12:A55, "1.2.2.*", J12:J55)</f>
        <v>0</v>
      </c>
      <c r="K11" s="6">
        <f>SUMIF(A12:A55, "1.2.2.*", K12:K55)</f>
        <v>0</v>
      </c>
      <c r="L11" s="6">
        <f>SUMIF(A12:A55, "1.2.2.*", L12:L55)</f>
        <v>0</v>
      </c>
      <c r="M11" s="6">
        <f>SUMIF(A12:A55, "1.2.2.*", M12:M55)</f>
        <v>0</v>
      </c>
      <c r="N11" s="6">
        <f>SUMIF(A12:A55, "1.2.2.*", N12:N55)</f>
        <v>0</v>
      </c>
      <c r="O11" s="6">
        <f>SUMIF(A12:A55, "1.2.2.*", O12:O55)</f>
        <v>0</v>
      </c>
      <c r="P11" s="6">
        <f>SUMIF(A12:A55, "1.2.2.*", P12:P55)</f>
        <v>0</v>
      </c>
      <c r="Q11" s="6">
        <f>SUMIF(A12:A55, "1.2.2.*", Q12:Q55)</f>
        <v>0</v>
      </c>
      <c r="R11" s="6">
        <f>SUMIF(A12:A55, "1.2.2.*", R12:R55)</f>
        <v>0</v>
      </c>
      <c r="S11" s="10">
        <f t="shared" si="0"/>
        <v>0</v>
      </c>
      <c r="T11" s="6">
        <f t="shared" si="1"/>
        <v>0</v>
      </c>
      <c r="U11" s="10">
        <f t="shared" si="2"/>
        <v>0</v>
      </c>
    </row>
    <row r="12" spans="1:21" ht="27" customHeight="1" x14ac:dyDescent="0.25">
      <c r="A12" s="12" t="s">
        <v>38</v>
      </c>
      <c r="B12" s="13" t="s">
        <v>39</v>
      </c>
      <c r="C12" s="14"/>
      <c r="D12" s="15"/>
      <c r="E12" s="15"/>
      <c r="F12" s="5">
        <f>IF(ISNUMBER(VLOOKUP("1.3.1",A2:U55,6,FALSE)),ROUND(VLOOKUP("1.3.1",A2:U55,6,FALSE),4),0) + IF(ISNUMBER(VLOOKUP("1.3.2",A2:U55,6,FALSE)),ROUND(VLOOKUP("1.3.2",A2:U55,6,FALSE),4),0)</f>
        <v>219307819.29000002</v>
      </c>
      <c r="G12" s="5">
        <f>IF(ISNUMBER(VLOOKUP("1.3.1",A2:U55,7,FALSE)),ROUND(VLOOKUP("1.3.1",A2:U55,7,FALSE),4),0) + IF(ISNUMBER(VLOOKUP("1.3.2",A2:U55,7,FALSE)),ROUND(VLOOKUP("1.3.2",A2:U55,7,FALSE),4),0)</f>
        <v>26344443.43</v>
      </c>
      <c r="H12" s="6">
        <f>IF(ISNUMBER(VLOOKUP("1.3.1",A2:U55,8,FALSE)),ROUND(VLOOKUP("1.3.1",A2:U55,8,FALSE),4),0) + IF(ISNUMBER(VLOOKUP("1.3.2",A2:U55,8,FALSE)),ROUND(VLOOKUP("1.3.2",A2:U55,8,FALSE),4),0)</f>
        <v>114586389.72</v>
      </c>
      <c r="I12" s="6">
        <f>IF(ISNUMBER(VLOOKUP("1.3.1",A2:U55,9,FALSE)),ROUND(VLOOKUP("1.3.1",A2:U55,9,FALSE),4),0) + IF(ISNUMBER(VLOOKUP("1.3.2",A2:U55,9,FALSE)),ROUND(VLOOKUP("1.3.2",A2:U55,9,FALSE),4),0)</f>
        <v>63014504.640000001</v>
      </c>
      <c r="J12" s="6">
        <f>IF(ISNUMBER(VLOOKUP("1.3.1",A2:U55,10,FALSE)),ROUND(VLOOKUP("1.3.1",A2:U55,10,FALSE),4),0) + IF(ISNUMBER(VLOOKUP("1.3.2",A2:U55,10,FALSE)),ROUND(VLOOKUP("1.3.2",A2:U55,10,FALSE),4),0)</f>
        <v>1457158</v>
      </c>
      <c r="K12" s="6">
        <f>IF(ISNUMBER(VLOOKUP("1.3.1",A2:U55,11,FALSE)),ROUND(VLOOKUP("1.3.1",A2:U55,11,FALSE),4),0) + IF(ISNUMBER(VLOOKUP("1.3.2",A2:U55,11,FALSE)),ROUND(VLOOKUP("1.3.2",A2:U55,11,FALSE),4),0)</f>
        <v>1037442</v>
      </c>
      <c r="L12" s="6">
        <f>IF(ISNUMBER(VLOOKUP("1.3.1",A2:U55,12,FALSE)),ROUND(VLOOKUP("1.3.1",A2:U55,12,FALSE),4),0) + IF(ISNUMBER(VLOOKUP("1.3.2",A2:U55,12,FALSE)),ROUND(VLOOKUP("1.3.2",A2:U55,12,FALSE),4),0)</f>
        <v>978705</v>
      </c>
      <c r="M12" s="6">
        <f>IF(ISNUMBER(VLOOKUP("1.3.1",A2:U55,13,FALSE)),ROUND(VLOOKUP("1.3.1",A2:U55,13,FALSE),4),0) + IF(ISNUMBER(VLOOKUP("1.3.2",A2:U55,13,FALSE)),ROUND(VLOOKUP("1.3.2",A2:U55,13,FALSE),4),0)</f>
        <v>970157</v>
      </c>
      <c r="N12" s="6">
        <f>IF(ISNUMBER(VLOOKUP("1.3.1",A2:U55,14,FALSE)),ROUND(VLOOKUP("1.3.1",A2:U55,14,FALSE),4),0) + IF(ISNUMBER(VLOOKUP("1.3.2",A2:U55,14,FALSE)),ROUND(VLOOKUP("1.3.2",A2:U55,14,FALSE),4),0)</f>
        <v>918538</v>
      </c>
      <c r="O12" s="6">
        <f>IF(ISNUMBER(VLOOKUP("1.3.1",A2:U55,15,FALSE)),ROUND(VLOOKUP("1.3.1",A2:U55,15,FALSE),4),0) + IF(ISNUMBER(VLOOKUP("1.3.2",A2:U55,15,FALSE)),ROUND(VLOOKUP("1.3.2",A2:U55,15,FALSE),4),0)</f>
        <v>867873</v>
      </c>
      <c r="P12" s="6">
        <f>IF(ISNUMBER(VLOOKUP("1.3.1",A2:U55,16,FALSE)),ROUND(VLOOKUP("1.3.1",A2:U55,16,FALSE),4),0) + IF(ISNUMBER(VLOOKUP("1.3.2",A2:U55,16,FALSE)),ROUND(VLOOKUP("1.3.2",A2:U55,16,FALSE),4),0)</f>
        <v>846204</v>
      </c>
      <c r="Q12" s="6">
        <f>IF(ISNUMBER(VLOOKUP("1.3.1",A2:U55,17,FALSE)),ROUND(VLOOKUP("1.3.1",A2:U55,17,FALSE),4),0) + IF(ISNUMBER(VLOOKUP("1.3.2",A2:U55,17,FALSE)),ROUND(VLOOKUP("1.3.2",A2:U55,17,FALSE),4),0)</f>
        <v>834561</v>
      </c>
      <c r="R12" s="6">
        <f>IF(ISNUMBER(VLOOKUP("1.3.1",A2:U55,18,FALSE)),ROUND(VLOOKUP("1.3.1",A2:U55,18,FALSE),4),0) + IF(ISNUMBER(VLOOKUP("1.3.2",A2:U55,18,FALSE)),ROUND(VLOOKUP("1.3.2",A2:U55,18,FALSE),4),0)</f>
        <v>0</v>
      </c>
      <c r="S12" s="10">
        <f t="shared" si="0"/>
        <v>0</v>
      </c>
      <c r="T12" s="6">
        <f t="shared" si="1"/>
        <v>7451843.5</v>
      </c>
      <c r="U12" s="10">
        <f t="shared" si="2"/>
        <v>3.3978922977416101E-2</v>
      </c>
    </row>
    <row r="13" spans="1:21" ht="14.25" customHeight="1" x14ac:dyDescent="0.25">
      <c r="A13" s="12" t="s">
        <v>40</v>
      </c>
      <c r="B13" s="13" t="s">
        <v>24</v>
      </c>
      <c r="C13" s="14"/>
      <c r="D13" s="15"/>
      <c r="E13" s="15"/>
      <c r="F13" s="5">
        <f>SUMIF(A14:A55, "1.3.1.*", F14:F55)</f>
        <v>21953938.579999998</v>
      </c>
      <c r="G13" s="5">
        <f>SUMIF(A14:A55, "1.3.1.*", G14:G55)</f>
        <v>2900640.08</v>
      </c>
      <c r="H13" s="6">
        <f>SUMIF(A14:A55, "1.3.1.*", H14:H55)</f>
        <v>2143270</v>
      </c>
      <c r="I13" s="6">
        <f>SUMIF(A14:A55, "1.3.1.*", I14:I55)</f>
        <v>1838196</v>
      </c>
      <c r="J13" s="6">
        <f>SUMIF(A14:A55, "1.3.1.*", J14:J55)</f>
        <v>1457158</v>
      </c>
      <c r="K13" s="6">
        <f>SUMIF(A14:A55, "1.3.1.*", K14:K55)</f>
        <v>1037442</v>
      </c>
      <c r="L13" s="6">
        <f>SUMIF(A14:A55, "1.3.1.*", L14:L55)</f>
        <v>978705</v>
      </c>
      <c r="M13" s="6">
        <f>SUMIF(A14:A55, "1.3.1.*", M14:M55)</f>
        <v>970157</v>
      </c>
      <c r="N13" s="6">
        <f>SUMIF(A14:A55, "1.3.1.*", N14:N55)</f>
        <v>918538</v>
      </c>
      <c r="O13" s="6">
        <f>SUMIF(A14:A55, "1.3.1.*", O14:O55)</f>
        <v>867873</v>
      </c>
      <c r="P13" s="6">
        <f>SUMIF(A14:A55, "1.3.1.*", P14:P55)</f>
        <v>846204</v>
      </c>
      <c r="Q13" s="6">
        <f>SUMIF(A14:A55, "1.3.1.*", Q14:Q55)</f>
        <v>834561</v>
      </c>
      <c r="R13" s="6">
        <f>SUMIF(A14:A55, "1.3.1.*", R14:R55)</f>
        <v>0</v>
      </c>
      <c r="S13" s="10">
        <f t="shared" si="0"/>
        <v>0</v>
      </c>
      <c r="T13" s="6">
        <f t="shared" si="1"/>
        <v>7161194.5</v>
      </c>
      <c r="U13" s="10">
        <f t="shared" si="2"/>
        <v>0.32619178895416223</v>
      </c>
    </row>
    <row r="14" spans="1:21" ht="39.950000000000003" customHeight="1" x14ac:dyDescent="0.25">
      <c r="A14" s="16" t="s">
        <v>41</v>
      </c>
      <c r="B14" s="17" t="s">
        <v>42</v>
      </c>
      <c r="C14" s="18" t="s">
        <v>32</v>
      </c>
      <c r="D14" s="19">
        <v>2024</v>
      </c>
      <c r="E14" s="19">
        <v>2025</v>
      </c>
      <c r="F14" s="7">
        <v>100000</v>
      </c>
      <c r="G14" s="7">
        <v>50000</v>
      </c>
      <c r="H14" s="8">
        <v>50000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20">
        <v>0</v>
      </c>
      <c r="S14" s="11">
        <f t="shared" si="0"/>
        <v>0</v>
      </c>
      <c r="T14" s="8">
        <f t="shared" si="1"/>
        <v>0</v>
      </c>
      <c r="U14" s="11">
        <f t="shared" si="2"/>
        <v>0</v>
      </c>
    </row>
    <row r="15" spans="1:21" ht="39.950000000000003" customHeight="1" x14ac:dyDescent="0.25">
      <c r="A15" s="16" t="s">
        <v>43</v>
      </c>
      <c r="B15" s="17" t="s">
        <v>44</v>
      </c>
      <c r="C15" s="18" t="s">
        <v>32</v>
      </c>
      <c r="D15" s="19">
        <v>2024</v>
      </c>
      <c r="E15" s="19">
        <v>2026</v>
      </c>
      <c r="F15" s="7">
        <v>943488</v>
      </c>
      <c r="G15" s="7">
        <v>314496</v>
      </c>
      <c r="H15" s="8">
        <v>314496</v>
      </c>
      <c r="I15" s="8">
        <v>314496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20">
        <v>0</v>
      </c>
      <c r="S15" s="11">
        <f t="shared" si="0"/>
        <v>0</v>
      </c>
      <c r="T15" s="8">
        <f t="shared" si="1"/>
        <v>0</v>
      </c>
      <c r="U15" s="11">
        <f t="shared" si="2"/>
        <v>0</v>
      </c>
    </row>
    <row r="16" spans="1:21" ht="39.950000000000003" customHeight="1" x14ac:dyDescent="0.25">
      <c r="A16" s="16" t="s">
        <v>45</v>
      </c>
      <c r="B16" s="17" t="s">
        <v>46</v>
      </c>
      <c r="C16" s="18" t="s">
        <v>32</v>
      </c>
      <c r="D16" s="19">
        <v>2011</v>
      </c>
      <c r="E16" s="19">
        <v>2034</v>
      </c>
      <c r="F16" s="7">
        <v>9864654.5800000001</v>
      </c>
      <c r="G16" s="7">
        <v>560308.07999999996</v>
      </c>
      <c r="H16" s="8">
        <v>420000</v>
      </c>
      <c r="I16" s="8">
        <v>420000</v>
      </c>
      <c r="J16" s="8">
        <v>420000</v>
      </c>
      <c r="K16" s="8">
        <v>420000</v>
      </c>
      <c r="L16" s="8">
        <v>420000</v>
      </c>
      <c r="M16" s="8">
        <v>420000</v>
      </c>
      <c r="N16" s="8">
        <v>420000</v>
      </c>
      <c r="O16" s="8">
        <v>420000</v>
      </c>
      <c r="P16" s="8">
        <v>420000</v>
      </c>
      <c r="Q16" s="8">
        <v>420000</v>
      </c>
      <c r="R16" s="20">
        <v>0</v>
      </c>
      <c r="S16" s="11">
        <f t="shared" si="0"/>
        <v>0</v>
      </c>
      <c r="T16" s="8">
        <f t="shared" si="1"/>
        <v>5104346.5</v>
      </c>
      <c r="U16" s="11">
        <f t="shared" si="2"/>
        <v>0.51743793547001216</v>
      </c>
    </row>
    <row r="17" spans="1:21" ht="65.650000000000006" customHeight="1" x14ac:dyDescent="0.25">
      <c r="A17" s="16" t="s">
        <v>47</v>
      </c>
      <c r="B17" s="17" t="s">
        <v>48</v>
      </c>
      <c r="C17" s="18" t="s">
        <v>49</v>
      </c>
      <c r="D17" s="19">
        <v>2020</v>
      </c>
      <c r="E17" s="19">
        <v>2034</v>
      </c>
      <c r="F17" s="7">
        <v>8367366</v>
      </c>
      <c r="G17" s="7">
        <v>821186</v>
      </c>
      <c r="H17" s="8">
        <v>799794</v>
      </c>
      <c r="I17" s="8">
        <v>728550</v>
      </c>
      <c r="J17" s="8">
        <v>662008</v>
      </c>
      <c r="K17" s="8">
        <v>617442</v>
      </c>
      <c r="L17" s="8">
        <v>558705</v>
      </c>
      <c r="M17" s="8">
        <v>550157</v>
      </c>
      <c r="N17" s="8">
        <v>498538</v>
      </c>
      <c r="O17" s="8">
        <v>447873</v>
      </c>
      <c r="P17" s="8">
        <v>426204</v>
      </c>
      <c r="Q17" s="8">
        <v>414561</v>
      </c>
      <c r="R17" s="20">
        <v>0</v>
      </c>
      <c r="S17" s="11">
        <f t="shared" si="0"/>
        <v>0</v>
      </c>
      <c r="T17" s="8">
        <f t="shared" si="1"/>
        <v>1842348</v>
      </c>
      <c r="U17" s="11">
        <f t="shared" si="2"/>
        <v>0.22018255207194234</v>
      </c>
    </row>
    <row r="18" spans="1:21" ht="39.950000000000003" customHeight="1" x14ac:dyDescent="0.25">
      <c r="A18" s="16" t="s">
        <v>50</v>
      </c>
      <c r="B18" s="17" t="s">
        <v>51</v>
      </c>
      <c r="C18" s="18" t="s">
        <v>32</v>
      </c>
      <c r="D18" s="19">
        <v>2023</v>
      </c>
      <c r="E18" s="19">
        <v>2025</v>
      </c>
      <c r="F18" s="7">
        <v>1552980</v>
      </c>
      <c r="G18" s="7">
        <v>1029600</v>
      </c>
      <c r="H18" s="8">
        <v>308880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20">
        <v>0</v>
      </c>
      <c r="S18" s="11">
        <f t="shared" si="0"/>
        <v>0</v>
      </c>
      <c r="T18" s="8">
        <f t="shared" si="1"/>
        <v>214500</v>
      </c>
      <c r="U18" s="11">
        <f t="shared" si="2"/>
        <v>0.13812154696132597</v>
      </c>
    </row>
    <row r="19" spans="1:21" ht="63" customHeight="1" x14ac:dyDescent="0.25">
      <c r="A19" s="16" t="s">
        <v>52</v>
      </c>
      <c r="B19" s="17" t="s">
        <v>53</v>
      </c>
      <c r="C19" s="18" t="s">
        <v>49</v>
      </c>
      <c r="D19" s="19">
        <v>2023</v>
      </c>
      <c r="E19" s="19">
        <v>2027</v>
      </c>
      <c r="F19" s="7">
        <v>1125450</v>
      </c>
      <c r="G19" s="7">
        <v>125050</v>
      </c>
      <c r="H19" s="8">
        <v>250100</v>
      </c>
      <c r="I19" s="8">
        <v>375150</v>
      </c>
      <c r="J19" s="8">
        <v>375150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20">
        <v>0</v>
      </c>
      <c r="S19" s="11">
        <f t="shared" si="0"/>
        <v>0</v>
      </c>
      <c r="T19" s="8">
        <f t="shared" si="1"/>
        <v>0</v>
      </c>
      <c r="U19" s="11">
        <f t="shared" si="2"/>
        <v>0</v>
      </c>
    </row>
    <row r="20" spans="1:21" ht="14.25" customHeight="1" x14ac:dyDescent="0.25">
      <c r="A20" s="12" t="s">
        <v>54</v>
      </c>
      <c r="B20" s="13" t="s">
        <v>26</v>
      </c>
      <c r="C20" s="14"/>
      <c r="D20" s="15"/>
      <c r="E20" s="15"/>
      <c r="F20" s="5">
        <f>SUMIF(A21:A55, "1.3.2.*", F21:F55)</f>
        <v>197353880.71000001</v>
      </c>
      <c r="G20" s="5">
        <f>SUMIF(A21:A55, "1.3.2.*", G21:G55)</f>
        <v>23443803.349999998</v>
      </c>
      <c r="H20" s="6">
        <f>SUMIF(A21:A55, "1.3.2.*", H21:H55)</f>
        <v>112443119.72</v>
      </c>
      <c r="I20" s="6">
        <f>SUMIF(A21:A55, "1.3.2.*", I21:I55)</f>
        <v>61176308.640000001</v>
      </c>
      <c r="J20" s="6">
        <f>SUMIF(A21:A55, "1.3.2.*", J21:J55)</f>
        <v>0</v>
      </c>
      <c r="K20" s="6">
        <f>SUMIF(A21:A55, "1.3.2.*", K21:K55)</f>
        <v>0</v>
      </c>
      <c r="L20" s="6">
        <f>SUMIF(A21:A55, "1.3.2.*", L21:L55)</f>
        <v>0</v>
      </c>
      <c r="M20" s="6">
        <f>SUMIF(A21:A55, "1.3.2.*", M21:M55)</f>
        <v>0</v>
      </c>
      <c r="N20" s="6">
        <f>SUMIF(A21:A55, "1.3.2.*", N21:N55)</f>
        <v>0</v>
      </c>
      <c r="O20" s="6">
        <f>SUMIF(A21:A55, "1.3.2.*", O21:O55)</f>
        <v>0</v>
      </c>
      <c r="P20" s="6">
        <f>SUMIF(A21:A55, "1.3.2.*", P21:P55)</f>
        <v>0</v>
      </c>
      <c r="Q20" s="6">
        <f>SUMIF(A21:A55, "1.3.2.*", Q21:Q55)</f>
        <v>0</v>
      </c>
      <c r="R20" s="6">
        <f>SUMIF(A21:A55, "1.3.2.*", R21:R55)</f>
        <v>0</v>
      </c>
      <c r="S20" s="10">
        <f t="shared" si="0"/>
        <v>0</v>
      </c>
      <c r="T20" s="6">
        <f t="shared" si="1"/>
        <v>290649</v>
      </c>
      <c r="U20" s="10">
        <f t="shared" si="2"/>
        <v>1.4727300976011297E-3</v>
      </c>
    </row>
    <row r="21" spans="1:21" ht="65.650000000000006" customHeight="1" x14ac:dyDescent="0.25">
      <c r="A21" s="16" t="s">
        <v>55</v>
      </c>
      <c r="B21" s="17" t="s">
        <v>56</v>
      </c>
      <c r="C21" s="18" t="s">
        <v>57</v>
      </c>
      <c r="D21" s="19">
        <v>2023</v>
      </c>
      <c r="E21" s="19">
        <v>2025</v>
      </c>
      <c r="F21" s="7">
        <v>189174</v>
      </c>
      <c r="G21" s="7">
        <v>150060</v>
      </c>
      <c r="H21" s="8">
        <v>12300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20">
        <v>0</v>
      </c>
      <c r="S21" s="11">
        <f t="shared" si="0"/>
        <v>0</v>
      </c>
      <c r="T21" s="8">
        <f t="shared" si="1"/>
        <v>26814</v>
      </c>
      <c r="U21" s="11">
        <f t="shared" si="2"/>
        <v>0.14174252275682706</v>
      </c>
    </row>
    <row r="22" spans="1:21" ht="52.9" customHeight="1" x14ac:dyDescent="0.25">
      <c r="A22" s="16" t="s">
        <v>58</v>
      </c>
      <c r="B22" s="17" t="s">
        <v>59</v>
      </c>
      <c r="C22" s="18" t="s">
        <v>32</v>
      </c>
      <c r="D22" s="19">
        <v>2023</v>
      </c>
      <c r="E22" s="19">
        <v>2026</v>
      </c>
      <c r="F22" s="7">
        <v>40790311.079999998</v>
      </c>
      <c r="G22" s="7">
        <v>2005000</v>
      </c>
      <c r="H22" s="8">
        <v>23389186.079999998</v>
      </c>
      <c r="I22" s="8">
        <v>15251600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20">
        <v>0</v>
      </c>
      <c r="S22" s="11">
        <f t="shared" si="0"/>
        <v>0</v>
      </c>
      <c r="T22" s="8">
        <f t="shared" si="1"/>
        <v>144525</v>
      </c>
      <c r="U22" s="11">
        <f t="shared" si="2"/>
        <v>3.5431208091683914E-3</v>
      </c>
    </row>
    <row r="23" spans="1:21" ht="39.950000000000003" customHeight="1" x14ac:dyDescent="0.25">
      <c r="A23" s="16" t="s">
        <v>60</v>
      </c>
      <c r="B23" s="17" t="s">
        <v>61</v>
      </c>
      <c r="C23" s="18" t="s">
        <v>32</v>
      </c>
      <c r="D23" s="19">
        <v>2024</v>
      </c>
      <c r="E23" s="19">
        <v>2025</v>
      </c>
      <c r="F23" s="7">
        <v>2000000</v>
      </c>
      <c r="G23" s="7">
        <v>1500000</v>
      </c>
      <c r="H23" s="8">
        <v>500000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20">
        <v>0</v>
      </c>
      <c r="S23" s="11">
        <f t="shared" si="0"/>
        <v>0</v>
      </c>
      <c r="T23" s="8">
        <f t="shared" si="1"/>
        <v>0</v>
      </c>
      <c r="U23" s="11">
        <f t="shared" si="2"/>
        <v>0</v>
      </c>
    </row>
    <row r="24" spans="1:21" ht="39.950000000000003" customHeight="1" x14ac:dyDescent="0.25">
      <c r="A24" s="16" t="s">
        <v>62</v>
      </c>
      <c r="B24" s="17" t="s">
        <v>63</v>
      </c>
      <c r="C24" s="18" t="s">
        <v>57</v>
      </c>
      <c r="D24" s="19">
        <v>2024</v>
      </c>
      <c r="E24" s="19">
        <v>2025</v>
      </c>
      <c r="F24" s="7">
        <v>37794.949999999997</v>
      </c>
      <c r="G24" s="7">
        <v>0</v>
      </c>
      <c r="H24" s="8">
        <v>37794.949999999997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20">
        <v>0</v>
      </c>
      <c r="S24" s="11">
        <f t="shared" si="0"/>
        <v>0</v>
      </c>
      <c r="T24" s="8">
        <f t="shared" si="1"/>
        <v>0</v>
      </c>
      <c r="U24" s="11">
        <f t="shared" si="2"/>
        <v>0</v>
      </c>
    </row>
    <row r="25" spans="1:21" ht="39.950000000000003" customHeight="1" x14ac:dyDescent="0.25">
      <c r="A25" s="16" t="s">
        <v>64</v>
      </c>
      <c r="B25" s="17" t="s">
        <v>65</v>
      </c>
      <c r="C25" s="18" t="s">
        <v>57</v>
      </c>
      <c r="D25" s="19">
        <v>2024</v>
      </c>
      <c r="E25" s="19">
        <v>2025</v>
      </c>
      <c r="F25" s="7">
        <v>239542.5</v>
      </c>
      <c r="G25" s="7">
        <v>24600</v>
      </c>
      <c r="H25" s="8">
        <v>214942.5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20">
        <v>0</v>
      </c>
      <c r="S25" s="11">
        <f t="shared" si="0"/>
        <v>0</v>
      </c>
      <c r="T25" s="8">
        <f t="shared" si="1"/>
        <v>0</v>
      </c>
      <c r="U25" s="11">
        <f t="shared" si="2"/>
        <v>0</v>
      </c>
    </row>
    <row r="26" spans="1:21" ht="39.950000000000003" customHeight="1" x14ac:dyDescent="0.25">
      <c r="A26" s="16" t="s">
        <v>66</v>
      </c>
      <c r="B26" s="17" t="s">
        <v>67</v>
      </c>
      <c r="C26" s="18" t="s">
        <v>57</v>
      </c>
      <c r="D26" s="19">
        <v>2024</v>
      </c>
      <c r="E26" s="19">
        <v>2025</v>
      </c>
      <c r="F26" s="7">
        <v>208239</v>
      </c>
      <c r="G26" s="7">
        <v>0</v>
      </c>
      <c r="H26" s="8">
        <v>208239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20">
        <v>0</v>
      </c>
      <c r="S26" s="11">
        <f t="shared" si="0"/>
        <v>0</v>
      </c>
      <c r="T26" s="8">
        <f t="shared" si="1"/>
        <v>0</v>
      </c>
      <c r="U26" s="11">
        <f t="shared" si="2"/>
        <v>0</v>
      </c>
    </row>
    <row r="27" spans="1:21" ht="39.950000000000003" customHeight="1" x14ac:dyDescent="0.25">
      <c r="A27" s="16" t="s">
        <v>68</v>
      </c>
      <c r="B27" s="17" t="s">
        <v>69</v>
      </c>
      <c r="C27" s="18" t="s">
        <v>57</v>
      </c>
      <c r="D27" s="19">
        <v>2024</v>
      </c>
      <c r="E27" s="19">
        <v>2025</v>
      </c>
      <c r="F27" s="7">
        <v>330870</v>
      </c>
      <c r="G27" s="7">
        <v>220170</v>
      </c>
      <c r="H27" s="8">
        <v>110700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20">
        <v>0</v>
      </c>
      <c r="S27" s="11">
        <f t="shared" si="0"/>
        <v>0</v>
      </c>
      <c r="T27" s="8">
        <f t="shared" si="1"/>
        <v>0</v>
      </c>
      <c r="U27" s="11">
        <f t="shared" si="2"/>
        <v>0</v>
      </c>
    </row>
    <row r="28" spans="1:21" ht="39.950000000000003" customHeight="1" x14ac:dyDescent="0.25">
      <c r="A28" s="16" t="s">
        <v>70</v>
      </c>
      <c r="B28" s="17" t="s">
        <v>71</v>
      </c>
      <c r="C28" s="18" t="s">
        <v>57</v>
      </c>
      <c r="D28" s="19">
        <v>2024</v>
      </c>
      <c r="E28" s="19">
        <v>2025</v>
      </c>
      <c r="F28" s="7">
        <v>116850</v>
      </c>
      <c r="G28" s="7">
        <v>76260</v>
      </c>
      <c r="H28" s="8">
        <v>40590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20">
        <v>0</v>
      </c>
      <c r="S28" s="11">
        <f t="shared" si="0"/>
        <v>0</v>
      </c>
      <c r="T28" s="8">
        <f t="shared" si="1"/>
        <v>0</v>
      </c>
      <c r="U28" s="11">
        <f t="shared" si="2"/>
        <v>0</v>
      </c>
    </row>
    <row r="29" spans="1:21" ht="39.950000000000003" customHeight="1" x14ac:dyDescent="0.25">
      <c r="A29" s="16" t="s">
        <v>72</v>
      </c>
      <c r="B29" s="17" t="s">
        <v>73</v>
      </c>
      <c r="C29" s="18" t="s">
        <v>57</v>
      </c>
      <c r="D29" s="19">
        <v>2024</v>
      </c>
      <c r="E29" s="19">
        <v>2025</v>
      </c>
      <c r="F29" s="7">
        <v>161253</v>
      </c>
      <c r="G29" s="7">
        <v>40467</v>
      </c>
      <c r="H29" s="8">
        <v>120786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20">
        <v>0</v>
      </c>
      <c r="S29" s="11">
        <f t="shared" si="0"/>
        <v>0</v>
      </c>
      <c r="T29" s="8">
        <f t="shared" si="1"/>
        <v>0</v>
      </c>
      <c r="U29" s="11">
        <f t="shared" si="2"/>
        <v>0</v>
      </c>
    </row>
    <row r="30" spans="1:21" ht="39.950000000000003" customHeight="1" x14ac:dyDescent="0.25">
      <c r="A30" s="16" t="s">
        <v>74</v>
      </c>
      <c r="B30" s="17" t="s">
        <v>75</v>
      </c>
      <c r="C30" s="18" t="s">
        <v>57</v>
      </c>
      <c r="D30" s="19">
        <v>2024</v>
      </c>
      <c r="E30" s="19">
        <v>2025</v>
      </c>
      <c r="F30" s="7">
        <v>227550</v>
      </c>
      <c r="G30" s="7">
        <v>144771</v>
      </c>
      <c r="H30" s="8">
        <v>82779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20">
        <v>0</v>
      </c>
      <c r="S30" s="11">
        <f t="shared" si="0"/>
        <v>0</v>
      </c>
      <c r="T30" s="8">
        <f t="shared" si="1"/>
        <v>0</v>
      </c>
      <c r="U30" s="11">
        <f t="shared" si="2"/>
        <v>0</v>
      </c>
    </row>
    <row r="31" spans="1:21" ht="39.950000000000003" customHeight="1" x14ac:dyDescent="0.25">
      <c r="A31" s="16" t="s">
        <v>76</v>
      </c>
      <c r="B31" s="17" t="s">
        <v>77</v>
      </c>
      <c r="C31" s="18" t="s">
        <v>57</v>
      </c>
      <c r="D31" s="19">
        <v>2024</v>
      </c>
      <c r="E31" s="19">
        <v>2025</v>
      </c>
      <c r="F31" s="7">
        <v>196492.5</v>
      </c>
      <c r="G31" s="7">
        <v>79631.429999999993</v>
      </c>
      <c r="H31" s="8">
        <v>116861.07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20">
        <v>0</v>
      </c>
      <c r="S31" s="11">
        <f t="shared" si="0"/>
        <v>0</v>
      </c>
      <c r="T31" s="8">
        <f t="shared" si="1"/>
        <v>0</v>
      </c>
      <c r="U31" s="11">
        <f t="shared" si="2"/>
        <v>0</v>
      </c>
    </row>
    <row r="32" spans="1:21" ht="52.9" customHeight="1" x14ac:dyDescent="0.25">
      <c r="A32" s="16" t="s">
        <v>78</v>
      </c>
      <c r="B32" s="17" t="s">
        <v>79</v>
      </c>
      <c r="C32" s="18" t="s">
        <v>57</v>
      </c>
      <c r="D32" s="19">
        <v>2024</v>
      </c>
      <c r="E32" s="19">
        <v>2025</v>
      </c>
      <c r="F32" s="7">
        <v>6476552.7199999997</v>
      </c>
      <c r="G32" s="7">
        <v>3303300</v>
      </c>
      <c r="H32" s="8">
        <v>3173252.72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20">
        <v>0</v>
      </c>
      <c r="S32" s="11">
        <f t="shared" si="0"/>
        <v>0</v>
      </c>
      <c r="T32" s="8">
        <f t="shared" si="1"/>
        <v>0</v>
      </c>
      <c r="U32" s="11">
        <f t="shared" si="2"/>
        <v>0</v>
      </c>
    </row>
    <row r="33" spans="1:21" ht="39.950000000000003" customHeight="1" x14ac:dyDescent="0.25">
      <c r="A33" s="16" t="s">
        <v>80</v>
      </c>
      <c r="B33" s="17" t="s">
        <v>81</v>
      </c>
      <c r="C33" s="18" t="s">
        <v>57</v>
      </c>
      <c r="D33" s="19">
        <v>2024</v>
      </c>
      <c r="E33" s="19">
        <v>2026</v>
      </c>
      <c r="F33" s="7">
        <v>15445698.73</v>
      </c>
      <c r="G33" s="7">
        <v>12000</v>
      </c>
      <c r="H33" s="8">
        <v>7742982.6200000001</v>
      </c>
      <c r="I33" s="8">
        <v>7690716.1100000003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20">
        <v>0</v>
      </c>
      <c r="S33" s="11">
        <f t="shared" si="0"/>
        <v>0</v>
      </c>
      <c r="T33" s="8">
        <f t="shared" si="1"/>
        <v>0</v>
      </c>
      <c r="U33" s="11">
        <f t="shared" si="2"/>
        <v>0</v>
      </c>
    </row>
    <row r="34" spans="1:21" ht="39.950000000000003" customHeight="1" x14ac:dyDescent="0.25">
      <c r="A34" s="16" t="s">
        <v>82</v>
      </c>
      <c r="B34" s="17" t="s">
        <v>83</v>
      </c>
      <c r="C34" s="18" t="s">
        <v>57</v>
      </c>
      <c r="D34" s="19">
        <v>2024</v>
      </c>
      <c r="E34" s="19">
        <v>2025</v>
      </c>
      <c r="F34" s="7">
        <v>2502848.9</v>
      </c>
      <c r="G34" s="7">
        <v>1495428.96</v>
      </c>
      <c r="H34" s="8">
        <v>1007419.94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20">
        <v>0</v>
      </c>
      <c r="S34" s="11">
        <f t="shared" si="0"/>
        <v>0</v>
      </c>
      <c r="T34" s="8">
        <f t="shared" si="1"/>
        <v>0</v>
      </c>
      <c r="U34" s="11">
        <f t="shared" si="2"/>
        <v>0</v>
      </c>
    </row>
    <row r="35" spans="1:21" ht="39.950000000000003" customHeight="1" x14ac:dyDescent="0.25">
      <c r="A35" s="16" t="s">
        <v>84</v>
      </c>
      <c r="B35" s="17" t="s">
        <v>85</v>
      </c>
      <c r="C35" s="18" t="s">
        <v>57</v>
      </c>
      <c r="D35" s="19">
        <v>2024</v>
      </c>
      <c r="E35" s="19">
        <v>2026</v>
      </c>
      <c r="F35" s="7">
        <v>8712912</v>
      </c>
      <c r="G35" s="7">
        <v>12000</v>
      </c>
      <c r="H35" s="8">
        <v>4359306</v>
      </c>
      <c r="I35" s="8">
        <v>4341606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20">
        <v>0</v>
      </c>
      <c r="S35" s="11">
        <f t="shared" si="0"/>
        <v>0</v>
      </c>
      <c r="T35" s="8">
        <f t="shared" si="1"/>
        <v>0</v>
      </c>
      <c r="U35" s="11">
        <f t="shared" si="2"/>
        <v>0</v>
      </c>
    </row>
    <row r="36" spans="1:21" ht="39.950000000000003" customHeight="1" x14ac:dyDescent="0.25">
      <c r="A36" s="16" t="s">
        <v>86</v>
      </c>
      <c r="B36" s="17" t="s">
        <v>87</v>
      </c>
      <c r="C36" s="18" t="s">
        <v>57</v>
      </c>
      <c r="D36" s="19">
        <v>2024</v>
      </c>
      <c r="E36" s="19">
        <v>2025</v>
      </c>
      <c r="F36" s="7">
        <v>5764577.6900000004</v>
      </c>
      <c r="G36" s="7">
        <v>180000</v>
      </c>
      <c r="H36" s="8">
        <v>5584577.6900000004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20">
        <v>0</v>
      </c>
      <c r="S36" s="11">
        <f t="shared" si="0"/>
        <v>0</v>
      </c>
      <c r="T36" s="8">
        <f t="shared" si="1"/>
        <v>0</v>
      </c>
      <c r="U36" s="11">
        <f t="shared" si="2"/>
        <v>0</v>
      </c>
    </row>
    <row r="37" spans="1:21" ht="39.950000000000003" customHeight="1" x14ac:dyDescent="0.25">
      <c r="A37" s="16" t="s">
        <v>88</v>
      </c>
      <c r="B37" s="17" t="s">
        <v>89</v>
      </c>
      <c r="C37" s="18" t="s">
        <v>57</v>
      </c>
      <c r="D37" s="19">
        <v>2024</v>
      </c>
      <c r="E37" s="19">
        <v>2026</v>
      </c>
      <c r="F37" s="7">
        <v>15155500</v>
      </c>
      <c r="G37" s="7">
        <v>12000</v>
      </c>
      <c r="H37" s="8">
        <v>10158916</v>
      </c>
      <c r="I37" s="8">
        <v>4984584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20">
        <v>0</v>
      </c>
      <c r="S37" s="11">
        <f t="shared" si="0"/>
        <v>0</v>
      </c>
      <c r="T37" s="8">
        <f t="shared" si="1"/>
        <v>0</v>
      </c>
      <c r="U37" s="11">
        <f t="shared" si="2"/>
        <v>0</v>
      </c>
    </row>
    <row r="38" spans="1:21" ht="39.950000000000003" customHeight="1" x14ac:dyDescent="0.25">
      <c r="A38" s="16" t="s">
        <v>90</v>
      </c>
      <c r="B38" s="17" t="s">
        <v>91</v>
      </c>
      <c r="C38" s="18" t="s">
        <v>57</v>
      </c>
      <c r="D38" s="19">
        <v>2024</v>
      </c>
      <c r="E38" s="19">
        <v>2025</v>
      </c>
      <c r="F38" s="7">
        <v>905254.92</v>
      </c>
      <c r="G38" s="7">
        <v>517913.35</v>
      </c>
      <c r="H38" s="8">
        <v>387341.57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20">
        <v>0</v>
      </c>
      <c r="S38" s="11">
        <f t="shared" si="0"/>
        <v>0</v>
      </c>
      <c r="T38" s="8">
        <f t="shared" si="1"/>
        <v>0</v>
      </c>
      <c r="U38" s="11">
        <f t="shared" si="2"/>
        <v>0</v>
      </c>
    </row>
    <row r="39" spans="1:21" ht="39.950000000000003" customHeight="1" x14ac:dyDescent="0.25">
      <c r="A39" s="16" t="s">
        <v>92</v>
      </c>
      <c r="B39" s="17" t="s">
        <v>93</v>
      </c>
      <c r="C39" s="18" t="s">
        <v>57</v>
      </c>
      <c r="D39" s="19">
        <v>2024</v>
      </c>
      <c r="E39" s="19">
        <v>2026</v>
      </c>
      <c r="F39" s="7">
        <v>3640500</v>
      </c>
      <c r="G39" s="7">
        <v>12000</v>
      </c>
      <c r="H39" s="8">
        <v>1814250</v>
      </c>
      <c r="I39" s="8">
        <v>1814250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20">
        <v>0</v>
      </c>
      <c r="S39" s="11">
        <f t="shared" si="0"/>
        <v>0</v>
      </c>
      <c r="T39" s="8">
        <f t="shared" si="1"/>
        <v>0</v>
      </c>
      <c r="U39" s="11">
        <f t="shared" si="2"/>
        <v>0</v>
      </c>
    </row>
    <row r="40" spans="1:21" ht="39.950000000000003" customHeight="1" x14ac:dyDescent="0.25">
      <c r="A40" s="16" t="s">
        <v>94</v>
      </c>
      <c r="B40" s="17" t="s">
        <v>95</v>
      </c>
      <c r="C40" s="18" t="s">
        <v>57</v>
      </c>
      <c r="D40" s="19">
        <v>2024</v>
      </c>
      <c r="E40" s="19">
        <v>2025</v>
      </c>
      <c r="F40" s="7">
        <v>9097209.5199999996</v>
      </c>
      <c r="G40" s="7">
        <v>5219072.26</v>
      </c>
      <c r="H40" s="8">
        <v>3878137.26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20">
        <v>0</v>
      </c>
      <c r="S40" s="11">
        <f t="shared" si="0"/>
        <v>0</v>
      </c>
      <c r="T40" s="8">
        <f t="shared" si="1"/>
        <v>0</v>
      </c>
      <c r="U40" s="11">
        <f t="shared" si="2"/>
        <v>0</v>
      </c>
    </row>
    <row r="41" spans="1:21" ht="39.950000000000003" customHeight="1" x14ac:dyDescent="0.25">
      <c r="A41" s="16" t="s">
        <v>96</v>
      </c>
      <c r="B41" s="17" t="s">
        <v>97</v>
      </c>
      <c r="C41" s="18" t="s">
        <v>57</v>
      </c>
      <c r="D41" s="19">
        <v>2024</v>
      </c>
      <c r="E41" s="19">
        <v>2025</v>
      </c>
      <c r="F41" s="7">
        <v>5616050</v>
      </c>
      <c r="G41" s="7">
        <v>180000</v>
      </c>
      <c r="H41" s="8">
        <v>5436050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20">
        <v>0</v>
      </c>
      <c r="S41" s="11">
        <f t="shared" si="0"/>
        <v>0</v>
      </c>
      <c r="T41" s="8">
        <f t="shared" si="1"/>
        <v>0</v>
      </c>
      <c r="U41" s="11">
        <f t="shared" si="2"/>
        <v>0</v>
      </c>
    </row>
    <row r="42" spans="1:21" ht="65.650000000000006" customHeight="1" x14ac:dyDescent="0.25">
      <c r="A42" s="16" t="s">
        <v>98</v>
      </c>
      <c r="B42" s="17" t="s">
        <v>99</v>
      </c>
      <c r="C42" s="18" t="s">
        <v>57</v>
      </c>
      <c r="D42" s="19">
        <v>2024</v>
      </c>
      <c r="E42" s="19">
        <v>2025</v>
      </c>
      <c r="F42" s="7">
        <v>4557037.7</v>
      </c>
      <c r="G42" s="7">
        <v>2549307.56</v>
      </c>
      <c r="H42" s="8">
        <v>2007730.14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0">
        <v>0</v>
      </c>
      <c r="S42" s="11">
        <f t="shared" si="0"/>
        <v>0</v>
      </c>
      <c r="T42" s="8">
        <f t="shared" si="1"/>
        <v>0</v>
      </c>
      <c r="U42" s="11">
        <f t="shared" si="2"/>
        <v>0</v>
      </c>
    </row>
    <row r="43" spans="1:21" ht="39.950000000000003" customHeight="1" x14ac:dyDescent="0.25">
      <c r="A43" s="16" t="s">
        <v>100</v>
      </c>
      <c r="B43" s="17" t="s">
        <v>101</v>
      </c>
      <c r="C43" s="18" t="s">
        <v>57</v>
      </c>
      <c r="D43" s="19">
        <v>2024</v>
      </c>
      <c r="E43" s="19">
        <v>2025</v>
      </c>
      <c r="F43" s="7">
        <v>2210364.7599999998</v>
      </c>
      <c r="G43" s="7">
        <v>1288511.01</v>
      </c>
      <c r="H43" s="8">
        <v>921853.75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20">
        <v>0</v>
      </c>
      <c r="S43" s="11">
        <f t="shared" si="0"/>
        <v>0</v>
      </c>
      <c r="T43" s="8">
        <f t="shared" si="1"/>
        <v>0</v>
      </c>
      <c r="U43" s="11">
        <f t="shared" si="2"/>
        <v>0</v>
      </c>
    </row>
    <row r="44" spans="1:21" ht="39.950000000000003" customHeight="1" x14ac:dyDescent="0.25">
      <c r="A44" s="16" t="s">
        <v>102</v>
      </c>
      <c r="B44" s="17" t="s">
        <v>103</v>
      </c>
      <c r="C44" s="18" t="s">
        <v>57</v>
      </c>
      <c r="D44" s="19">
        <v>2024</v>
      </c>
      <c r="E44" s="19">
        <v>2025</v>
      </c>
      <c r="F44" s="7">
        <v>5616050</v>
      </c>
      <c r="G44" s="7">
        <v>180000</v>
      </c>
      <c r="H44" s="8">
        <v>5436050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20">
        <v>0</v>
      </c>
      <c r="S44" s="11">
        <f t="shared" si="0"/>
        <v>0</v>
      </c>
      <c r="T44" s="8">
        <f t="shared" si="1"/>
        <v>0</v>
      </c>
      <c r="U44" s="11">
        <f t="shared" si="2"/>
        <v>0</v>
      </c>
    </row>
    <row r="45" spans="1:21" ht="39.950000000000003" customHeight="1" x14ac:dyDescent="0.25">
      <c r="A45" s="16" t="s">
        <v>104</v>
      </c>
      <c r="B45" s="17" t="s">
        <v>105</v>
      </c>
      <c r="C45" s="18" t="s">
        <v>57</v>
      </c>
      <c r="D45" s="19">
        <v>2024</v>
      </c>
      <c r="E45" s="19">
        <v>2025</v>
      </c>
      <c r="F45" s="7">
        <v>7601657.3300000001</v>
      </c>
      <c r="G45" s="7">
        <v>3896354.95</v>
      </c>
      <c r="H45" s="8">
        <v>3705302.38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20">
        <v>0</v>
      </c>
      <c r="S45" s="11">
        <f t="shared" si="0"/>
        <v>0</v>
      </c>
      <c r="T45" s="8">
        <f t="shared" si="1"/>
        <v>0</v>
      </c>
      <c r="U45" s="11">
        <f t="shared" si="2"/>
        <v>0</v>
      </c>
    </row>
    <row r="46" spans="1:21" ht="39.950000000000003" customHeight="1" x14ac:dyDescent="0.25">
      <c r="A46" s="16" t="s">
        <v>106</v>
      </c>
      <c r="B46" s="17" t="s">
        <v>107</v>
      </c>
      <c r="C46" s="18" t="s">
        <v>57</v>
      </c>
      <c r="D46" s="19">
        <v>2024</v>
      </c>
      <c r="E46" s="19">
        <v>2026</v>
      </c>
      <c r="F46" s="7">
        <v>9244437.0600000005</v>
      </c>
      <c r="G46" s="7">
        <v>12000</v>
      </c>
      <c r="H46" s="8">
        <v>4616218.53</v>
      </c>
      <c r="I46" s="8">
        <v>4616218.53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20">
        <v>0</v>
      </c>
      <c r="S46" s="11">
        <f t="shared" si="0"/>
        <v>0</v>
      </c>
      <c r="T46" s="8">
        <f t="shared" si="1"/>
        <v>0</v>
      </c>
      <c r="U46" s="11">
        <f t="shared" si="2"/>
        <v>0</v>
      </c>
    </row>
    <row r="47" spans="1:21" ht="117.2" customHeight="1" x14ac:dyDescent="0.25">
      <c r="A47" s="16" t="s">
        <v>108</v>
      </c>
      <c r="B47" s="17" t="s">
        <v>109</v>
      </c>
      <c r="C47" s="18" t="s">
        <v>110</v>
      </c>
      <c r="D47" s="19">
        <v>2024</v>
      </c>
      <c r="E47" s="19">
        <v>2025</v>
      </c>
      <c r="F47" s="7">
        <v>1878810</v>
      </c>
      <c r="G47" s="7">
        <v>13500</v>
      </c>
      <c r="H47" s="8">
        <v>1746000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20">
        <v>0</v>
      </c>
      <c r="S47" s="11">
        <f t="shared" si="0"/>
        <v>0</v>
      </c>
      <c r="T47" s="8">
        <f t="shared" si="1"/>
        <v>119310</v>
      </c>
      <c r="U47" s="11">
        <f t="shared" si="2"/>
        <v>6.3502961981254089E-2</v>
      </c>
    </row>
    <row r="48" spans="1:21" ht="117.2" customHeight="1" x14ac:dyDescent="0.25">
      <c r="A48" s="16" t="s">
        <v>111</v>
      </c>
      <c r="B48" s="17" t="s">
        <v>112</v>
      </c>
      <c r="C48" s="18" t="s">
        <v>110</v>
      </c>
      <c r="D48" s="19">
        <v>2024</v>
      </c>
      <c r="E48" s="19">
        <v>2025</v>
      </c>
      <c r="F48" s="7">
        <v>2080500</v>
      </c>
      <c r="G48" s="7">
        <v>12900</v>
      </c>
      <c r="H48" s="8">
        <v>2067600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20">
        <v>0</v>
      </c>
      <c r="S48" s="11">
        <f t="shared" si="0"/>
        <v>0</v>
      </c>
      <c r="T48" s="8">
        <f t="shared" si="1"/>
        <v>0</v>
      </c>
      <c r="U48" s="11">
        <f t="shared" si="2"/>
        <v>0</v>
      </c>
    </row>
    <row r="49" spans="1:21" ht="39.950000000000003" customHeight="1" x14ac:dyDescent="0.25">
      <c r="A49" s="16" t="s">
        <v>113</v>
      </c>
      <c r="B49" s="17" t="s">
        <v>114</v>
      </c>
      <c r="C49" s="18" t="s">
        <v>57</v>
      </c>
      <c r="D49" s="19">
        <v>2024</v>
      </c>
      <c r="E49" s="19">
        <v>2026</v>
      </c>
      <c r="F49" s="7">
        <v>11040024.74</v>
      </c>
      <c r="G49" s="7">
        <v>6555.83</v>
      </c>
      <c r="H49" s="8">
        <v>2208004.9500000002</v>
      </c>
      <c r="I49" s="8">
        <v>8825463.9600000009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20">
        <v>0</v>
      </c>
      <c r="S49" s="11">
        <f t="shared" si="0"/>
        <v>0</v>
      </c>
      <c r="T49" s="8">
        <f t="shared" si="1"/>
        <v>0</v>
      </c>
      <c r="U49" s="11">
        <f t="shared" si="2"/>
        <v>0</v>
      </c>
    </row>
    <row r="50" spans="1:21" ht="39.950000000000003" customHeight="1" x14ac:dyDescent="0.25">
      <c r="A50" s="16" t="s">
        <v>115</v>
      </c>
      <c r="B50" s="17" t="s">
        <v>116</v>
      </c>
      <c r="C50" s="18" t="s">
        <v>57</v>
      </c>
      <c r="D50" s="19">
        <v>2024</v>
      </c>
      <c r="E50" s="19">
        <v>2025</v>
      </c>
      <c r="F50" s="7">
        <v>10207157.51</v>
      </c>
      <c r="G50" s="7">
        <v>300000</v>
      </c>
      <c r="H50" s="8">
        <v>9907157.5099999998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20">
        <v>0</v>
      </c>
      <c r="S50" s="11">
        <f t="shared" si="0"/>
        <v>0</v>
      </c>
      <c r="T50" s="8">
        <f t="shared" si="1"/>
        <v>0</v>
      </c>
      <c r="U50" s="11">
        <f t="shared" si="2"/>
        <v>0</v>
      </c>
    </row>
    <row r="51" spans="1:21" ht="39.950000000000003" customHeight="1" x14ac:dyDescent="0.25">
      <c r="A51" s="16" t="s">
        <v>117</v>
      </c>
      <c r="B51" s="17" t="s">
        <v>118</v>
      </c>
      <c r="C51" s="18" t="s">
        <v>119</v>
      </c>
      <c r="D51" s="19">
        <v>2024</v>
      </c>
      <c r="E51" s="19">
        <v>2025</v>
      </c>
      <c r="F51" s="7">
        <v>301485</v>
      </c>
      <c r="G51" s="7">
        <v>0</v>
      </c>
      <c r="H51" s="8">
        <v>301485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20">
        <v>0</v>
      </c>
      <c r="S51" s="11">
        <f t="shared" si="0"/>
        <v>0</v>
      </c>
      <c r="T51" s="8">
        <f t="shared" si="1"/>
        <v>0</v>
      </c>
      <c r="U51" s="11">
        <f t="shared" si="2"/>
        <v>0</v>
      </c>
    </row>
    <row r="52" spans="1:21" ht="39.950000000000003" customHeight="1" x14ac:dyDescent="0.25">
      <c r="A52" s="16" t="s">
        <v>120</v>
      </c>
      <c r="B52" s="17" t="s">
        <v>121</v>
      </c>
      <c r="C52" s="18" t="s">
        <v>57</v>
      </c>
      <c r="D52" s="19">
        <v>2024</v>
      </c>
      <c r="E52" s="19">
        <v>2025</v>
      </c>
      <c r="F52" s="7">
        <v>1500000</v>
      </c>
      <c r="G52" s="7">
        <v>0</v>
      </c>
      <c r="H52" s="8">
        <v>1500000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20">
        <v>0</v>
      </c>
      <c r="S52" s="11">
        <f t="shared" si="0"/>
        <v>0</v>
      </c>
      <c r="T52" s="8">
        <f t="shared" si="1"/>
        <v>0</v>
      </c>
      <c r="U52" s="11">
        <f t="shared" si="2"/>
        <v>0</v>
      </c>
    </row>
    <row r="53" spans="1:21" ht="39.950000000000003" customHeight="1" x14ac:dyDescent="0.25">
      <c r="A53" s="16" t="s">
        <v>122</v>
      </c>
      <c r="B53" s="17" t="s">
        <v>123</v>
      </c>
      <c r="C53" s="18" t="s">
        <v>57</v>
      </c>
      <c r="D53" s="19">
        <v>2024</v>
      </c>
      <c r="E53" s="19">
        <v>2026</v>
      </c>
      <c r="F53" s="7">
        <v>2096735</v>
      </c>
      <c r="G53" s="7">
        <v>0</v>
      </c>
      <c r="H53" s="8">
        <v>2096735</v>
      </c>
      <c r="I53" s="8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20">
        <v>0</v>
      </c>
      <c r="S53" s="11">
        <f t="shared" si="0"/>
        <v>0</v>
      </c>
      <c r="T53" s="8">
        <f t="shared" si="1"/>
        <v>0</v>
      </c>
      <c r="U53" s="11">
        <f t="shared" si="2"/>
        <v>0</v>
      </c>
    </row>
    <row r="54" spans="1:21" ht="39.950000000000003" customHeight="1" x14ac:dyDescent="0.25">
      <c r="A54" s="16" t="s">
        <v>124</v>
      </c>
      <c r="B54" s="17" t="s">
        <v>125</v>
      </c>
      <c r="C54" s="18" t="s">
        <v>57</v>
      </c>
      <c r="D54" s="19">
        <v>2024</v>
      </c>
      <c r="E54" s="19">
        <v>2026</v>
      </c>
      <c r="F54" s="7">
        <v>21204440.100000001</v>
      </c>
      <c r="G54" s="7">
        <v>0</v>
      </c>
      <c r="H54" s="8">
        <v>7552570.0599999996</v>
      </c>
      <c r="I54" s="8">
        <v>13651870.039999999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20">
        <v>0</v>
      </c>
      <c r="S54" s="11">
        <f t="shared" si="0"/>
        <v>0</v>
      </c>
      <c r="T54" s="8">
        <f t="shared" si="1"/>
        <v>0</v>
      </c>
      <c r="U54" s="11">
        <f t="shared" si="2"/>
        <v>0</v>
      </c>
    </row>
  </sheetData>
  <sheetProtection algorithmName="SHA-512" hashValue="E5Qdq6GvM/Qm89hbeHtjwcGHV8ygc/sb5fYDq2K1/a7jyeLUXw3Fwr13QpF1i3LC8turC643nef1LMsjBLIk+w==" saltValue="x0j8qKnUQyq1DWAMlMst/Q==" spinCount="100000" sheet="1" scenarios="1"/>
  <conditionalFormatting sqref="B6:U6">
    <cfRule type="beginsWith" dxfId="11" priority="1" operator="beginsWith" text="Tak">
      <formula>LEFT(B6,LEN("Tak"))="Tak"</formula>
    </cfRule>
    <cfRule type="beginsWith" dxfId="10" priority="2" operator="beginsWith" text="Nie">
      <formula>LEFT(B6,LEN("Nie"))="Nie"</formula>
    </cfRule>
  </conditionalFormatting>
  <conditionalFormatting sqref="B8:U8">
    <cfRule type="beginsWith" dxfId="9" priority="3" operator="beginsWith" text="Tak">
      <formula>LEFT(B8,LEN("Tak"))="Tak"</formula>
    </cfRule>
    <cfRule type="beginsWith" dxfId="8" priority="4" operator="beginsWith" text="Nie">
      <formula>LEFT(B8,LEN("Nie"))="Nie"</formula>
    </cfRule>
  </conditionalFormatting>
  <conditionalFormatting sqref="B10:U10">
    <cfRule type="beginsWith" dxfId="7" priority="5" operator="beginsWith" text="Tak">
      <formula>LEFT(B10,LEN("Tak"))="Tak"</formula>
    </cfRule>
    <cfRule type="beginsWith" dxfId="6" priority="6" operator="beginsWith" text="Nie">
      <formula>LEFT(B10,LEN("Nie"))="Nie"</formula>
    </cfRule>
  </conditionalFormatting>
  <conditionalFormatting sqref="B11:U11">
    <cfRule type="beginsWith" dxfId="5" priority="7" operator="beginsWith" text="Tak">
      <formula>LEFT(B11,LEN("Tak"))="Tak"</formula>
    </cfRule>
    <cfRule type="beginsWith" dxfId="4" priority="8" operator="beginsWith" text="Nie">
      <formula>LEFT(B11,LEN("Nie"))="Nie"</formula>
    </cfRule>
  </conditionalFormatting>
  <conditionalFormatting sqref="B13:U13">
    <cfRule type="beginsWith" dxfId="3" priority="9" operator="beginsWith" text="Tak">
      <formula>LEFT(B13,LEN("Tak"))="Tak"</formula>
    </cfRule>
    <cfRule type="beginsWith" dxfId="2" priority="10" operator="beginsWith" text="Nie">
      <formula>LEFT(B13,LEN("Nie"))="Nie"</formula>
    </cfRule>
  </conditionalFormatting>
  <conditionalFormatting sqref="B20:U20">
    <cfRule type="beginsWith" dxfId="1" priority="11" operator="beginsWith" text="Tak">
      <formula>LEFT(B20,LEN("Tak"))="Tak"</formula>
    </cfRule>
    <cfRule type="beginsWith" dxfId="0" priority="12" operator="beginsWith" text="Nie">
      <formula>LEFT(B20,LEN("Nie"))="Nie"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WPF_2024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Szczuka</dc:creator>
  <cp:lastModifiedBy>Marta Szczuka</cp:lastModifiedBy>
  <dcterms:created xsi:type="dcterms:W3CDTF">2025-02-06T08:29:04Z</dcterms:created>
  <dcterms:modified xsi:type="dcterms:W3CDTF">2025-02-06T09:33:19Z</dcterms:modified>
</cp:coreProperties>
</file>