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729ad\mszczuka\Moje dokumenty - powiat\WYKONANIE BUDŻETU 2025\"/>
    </mc:Choice>
  </mc:AlternateContent>
  <bookViews>
    <workbookView xWindow="0" yWindow="0" windowWidth="28800" windowHeight="117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7" i="1" l="1"/>
  <c r="T43" i="1"/>
  <c r="S43" i="1"/>
  <c r="R43" i="1"/>
  <c r="S42" i="1"/>
  <c r="T42" i="1" s="1"/>
  <c r="R42" i="1"/>
  <c r="S41" i="1"/>
  <c r="T41" i="1" s="1"/>
  <c r="R41" i="1"/>
  <c r="S40" i="1"/>
  <c r="T40" i="1" s="1"/>
  <c r="R40" i="1"/>
  <c r="S39" i="1"/>
  <c r="T39" i="1" s="1"/>
  <c r="R39" i="1"/>
  <c r="S38" i="1"/>
  <c r="T38" i="1" s="1"/>
  <c r="R38" i="1"/>
  <c r="S37" i="1"/>
  <c r="T37" i="1" s="1"/>
  <c r="R37" i="1"/>
  <c r="S36" i="1"/>
  <c r="T36" i="1" s="1"/>
  <c r="R36" i="1"/>
  <c r="S35" i="1"/>
  <c r="T35" i="1" s="1"/>
  <c r="R35" i="1"/>
  <c r="S34" i="1"/>
  <c r="T34" i="1" s="1"/>
  <c r="R34" i="1"/>
  <c r="S33" i="1"/>
  <c r="T33" i="1" s="1"/>
  <c r="R33" i="1"/>
  <c r="S32" i="1"/>
  <c r="T32" i="1" s="1"/>
  <c r="R32" i="1"/>
  <c r="Q31" i="1"/>
  <c r="Q20" i="1" s="1"/>
  <c r="P31" i="1"/>
  <c r="O31" i="1"/>
  <c r="N31" i="1"/>
  <c r="M31" i="1"/>
  <c r="L31" i="1"/>
  <c r="K31" i="1"/>
  <c r="J31" i="1"/>
  <c r="I31" i="1"/>
  <c r="H31" i="1"/>
  <c r="G31" i="1"/>
  <c r="F31" i="1"/>
  <c r="S30" i="1"/>
  <c r="T30" i="1" s="1"/>
  <c r="R30" i="1"/>
  <c r="T29" i="1"/>
  <c r="S29" i="1"/>
  <c r="R29" i="1"/>
  <c r="S28" i="1"/>
  <c r="T28" i="1" s="1"/>
  <c r="R28" i="1"/>
  <c r="T27" i="1"/>
  <c r="S27" i="1"/>
  <c r="R27" i="1"/>
  <c r="S26" i="1"/>
  <c r="T26" i="1" s="1"/>
  <c r="R26" i="1"/>
  <c r="S25" i="1"/>
  <c r="T25" i="1" s="1"/>
  <c r="R25" i="1"/>
  <c r="S24" i="1"/>
  <c r="T24" i="1" s="1"/>
  <c r="R24" i="1"/>
  <c r="S23" i="1"/>
  <c r="T23" i="1" s="1"/>
  <c r="R23" i="1"/>
  <c r="S22" i="1"/>
  <c r="T22" i="1" s="1"/>
  <c r="R22" i="1"/>
  <c r="S21" i="1"/>
  <c r="T21" i="1" s="1"/>
  <c r="Q21" i="1"/>
  <c r="P21" i="1"/>
  <c r="O21" i="1"/>
  <c r="N21" i="1"/>
  <c r="M21" i="1"/>
  <c r="M20" i="1" s="1"/>
  <c r="L21" i="1"/>
  <c r="L20" i="1" s="1"/>
  <c r="K21" i="1"/>
  <c r="K20" i="1" s="1"/>
  <c r="J21" i="1"/>
  <c r="J20" i="1" s="1"/>
  <c r="I21" i="1"/>
  <c r="I20" i="1" s="1"/>
  <c r="H21" i="1"/>
  <c r="H20" i="1" s="1"/>
  <c r="G21" i="1"/>
  <c r="R21" i="1" s="1"/>
  <c r="F21" i="1"/>
  <c r="F20" i="1" s="1"/>
  <c r="P20" i="1"/>
  <c r="O20" i="1"/>
  <c r="N20" i="1"/>
  <c r="R19" i="1"/>
  <c r="Q19" i="1"/>
  <c r="Q4" i="1" s="1"/>
  <c r="P19" i="1"/>
  <c r="O19" i="1"/>
  <c r="N19" i="1"/>
  <c r="M19" i="1"/>
  <c r="L19" i="1"/>
  <c r="K19" i="1"/>
  <c r="J19" i="1"/>
  <c r="I19" i="1"/>
  <c r="H19" i="1"/>
  <c r="G19" i="1"/>
  <c r="F19" i="1"/>
  <c r="T19" i="1" s="1"/>
  <c r="Q18" i="1"/>
  <c r="P18" i="1"/>
  <c r="O18" i="1"/>
  <c r="N18" i="1"/>
  <c r="M18" i="1"/>
  <c r="L18" i="1"/>
  <c r="K18" i="1"/>
  <c r="J18" i="1"/>
  <c r="I18" i="1"/>
  <c r="H18" i="1"/>
  <c r="G18" i="1"/>
  <c r="R18" i="1" s="1"/>
  <c r="F18" i="1"/>
  <c r="T18" i="1" s="1"/>
  <c r="S16" i="1"/>
  <c r="T16" i="1" s="1"/>
  <c r="R16" i="1"/>
  <c r="S15" i="1"/>
  <c r="T15" i="1" s="1"/>
  <c r="R15" i="1"/>
  <c r="Q14" i="1"/>
  <c r="P14" i="1"/>
  <c r="O14" i="1"/>
  <c r="N14" i="1"/>
  <c r="M14" i="1"/>
  <c r="L14" i="1"/>
  <c r="K14" i="1"/>
  <c r="J14" i="1"/>
  <c r="I14" i="1"/>
  <c r="H14" i="1"/>
  <c r="H4" i="1" s="1"/>
  <c r="G14" i="1"/>
  <c r="R14" i="1" s="1"/>
  <c r="F14" i="1"/>
  <c r="S13" i="1"/>
  <c r="T13" i="1" s="1"/>
  <c r="R13" i="1"/>
  <c r="S12" i="1"/>
  <c r="T12" i="1" s="1"/>
  <c r="R12" i="1"/>
  <c r="T11" i="1"/>
  <c r="S11" i="1"/>
  <c r="R11" i="1"/>
  <c r="S10" i="1"/>
  <c r="T10" i="1" s="1"/>
  <c r="R10" i="1"/>
  <c r="S9" i="1"/>
  <c r="T9" i="1" s="1"/>
  <c r="R9" i="1"/>
  <c r="S8" i="1"/>
  <c r="T8" i="1" s="1"/>
  <c r="R8" i="1"/>
  <c r="T7" i="1"/>
  <c r="R7" i="1"/>
  <c r="Q6" i="1"/>
  <c r="P6" i="1"/>
  <c r="O6" i="1"/>
  <c r="O5" i="1" s="1"/>
  <c r="N6" i="1"/>
  <c r="N5" i="1" s="1"/>
  <c r="M6" i="1"/>
  <c r="M5" i="1" s="1"/>
  <c r="L6" i="1"/>
  <c r="K6" i="1"/>
  <c r="J6" i="1"/>
  <c r="I6" i="1"/>
  <c r="H6" i="1"/>
  <c r="G6" i="1"/>
  <c r="F6" i="1"/>
  <c r="H5" i="1" l="1"/>
  <c r="M4" i="1"/>
  <c r="I5" i="1"/>
  <c r="N4" i="1"/>
  <c r="K5" i="1"/>
  <c r="H17" i="1"/>
  <c r="P4" i="1"/>
  <c r="I17" i="1"/>
  <c r="L5" i="1"/>
  <c r="L17" i="1"/>
  <c r="R6" i="1"/>
  <c r="O4" i="1"/>
  <c r="P5" i="1"/>
  <c r="S14" i="1"/>
  <c r="T14" i="1" s="1"/>
  <c r="G4" i="1"/>
  <c r="R4" i="1" s="1"/>
  <c r="P17" i="1"/>
  <c r="N17" i="1"/>
  <c r="N2" i="1" s="1"/>
  <c r="I4" i="1"/>
  <c r="J5" i="1"/>
  <c r="J3" i="1"/>
  <c r="F4" i="1"/>
  <c r="Q17" i="1"/>
  <c r="J4" i="1"/>
  <c r="F5" i="1"/>
  <c r="K4" i="1"/>
  <c r="K3" i="1"/>
  <c r="M17" i="1"/>
  <c r="M2" i="1" s="1"/>
  <c r="O17" i="1"/>
  <c r="O2" i="1" s="1"/>
  <c r="G5" i="1"/>
  <c r="L4" i="1"/>
  <c r="S31" i="1"/>
  <c r="T31" i="1" s="1"/>
  <c r="S6" i="1"/>
  <c r="T6" i="1" s="1"/>
  <c r="H3" i="1"/>
  <c r="I3" i="1"/>
  <c r="S19" i="1"/>
  <c r="K17" i="1"/>
  <c r="K2" i="1" s="1"/>
  <c r="O3" i="1"/>
  <c r="P3" i="1"/>
  <c r="L3" i="1"/>
  <c r="R31" i="1"/>
  <c r="F3" i="1"/>
  <c r="G3" i="1"/>
  <c r="Q5" i="1"/>
  <c r="F17" i="1"/>
  <c r="G17" i="1"/>
  <c r="R17" i="1" s="1"/>
  <c r="J17" i="1"/>
  <c r="M3" i="1"/>
  <c r="N3" i="1"/>
  <c r="S18" i="1"/>
  <c r="Q3" i="1"/>
  <c r="G20" i="1"/>
  <c r="R20" i="1" s="1"/>
  <c r="I2" i="1" l="1"/>
  <c r="H2" i="1"/>
  <c r="L2" i="1"/>
  <c r="P2" i="1"/>
  <c r="R5" i="1"/>
  <c r="J2" i="1"/>
  <c r="S4" i="1"/>
  <c r="T4" i="1" s="1"/>
  <c r="F2" i="1"/>
  <c r="S5" i="1"/>
  <c r="T5" i="1" s="1"/>
  <c r="Q2" i="1"/>
  <c r="G2" i="1"/>
  <c r="S17" i="1"/>
  <c r="T17" i="1"/>
  <c r="R3" i="1"/>
  <c r="S3" i="1"/>
  <c r="T3" i="1" s="1"/>
  <c r="S20" i="1"/>
  <c r="T20" i="1" s="1"/>
  <c r="R2" i="1" l="1"/>
  <c r="S2" i="1"/>
  <c r="T2" i="1" s="1"/>
</calcChain>
</file>

<file path=xl/sharedStrings.xml><?xml version="1.0" encoding="utf-8"?>
<sst xmlns="http://schemas.openxmlformats.org/spreadsheetml/2006/main" count="134" uniqueCount="104">
  <si>
    <t>Lp.</t>
  </si>
  <si>
    <t>Nazwa i cel</t>
  </si>
  <si>
    <t>Jednostka</t>
  </si>
  <si>
    <t>Od</t>
  </si>
  <si>
    <t>Do</t>
  </si>
  <si>
    <t>Nakłady</t>
  </si>
  <si>
    <t>Plan na 2025 (stan na 31.12.2025 r.)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</si>
  <si>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</si>
  <si>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</si>
  <si>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</si>
  <si>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</si>
  <si>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</si>
  <si>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</si>
  <si>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</si>
  <si>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</si>
  <si>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</si>
  <si>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Wykonanie w 2025 r.</t>
  </si>
  <si>
    <t>Stopień realizacji w 2025 r.</t>
  </si>
  <si>
    <t>Wykonanie od początku realizacji zadania</t>
  </si>
  <si>
    <t>Stopień realizacji całości zadania</t>
  </si>
  <si>
    <t>1</t>
  </si>
  <si>
    <t>Przedsięwzięcia razem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</si>
  <si>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</si>
  <si>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</si>
  <si>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</si>
  <si>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</si>
  <si>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</si>
  <si>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późn.zm.):</t>
  </si>
  <si>
    <t>1.1.1</t>
  </si>
  <si>
    <t>1.1.1.1</t>
  </si>
  <si>
    <t xml:space="preserve">Bioróżnorodność w zielonej infrastrukturze Powiatu Białostockiego i miasta Użhorod - Programu Interreg NEXT Polska – Ukraina 2021-2027 </t>
  </si>
  <si>
    <t>STAROSTWO POWIATOWE W BIAŁYMSTOKU</t>
  </si>
  <si>
    <t>1.1.1.2</t>
  </si>
  <si>
    <t xml:space="preserve">Poprawa dostępności przestrzeni komunikacyjnych i architektonicznych na rzecz osób potrzebujących wsparcia w codziennym funkcjonowaniu w Powiecie Białostockim   - Fundusze Europejskie dla Podlaskiego 2021-2027 </t>
  </si>
  <si>
    <t>POWIATOWE CENTRUM POMOCY RODZINIE W BIAŁYMSTOKU</t>
  </si>
  <si>
    <t>1.1.1.3</t>
  </si>
  <si>
    <t xml:space="preserve">Profesjonalne kształcenie zawodowe w Łapach we współpracy z pracodawcami  - Priorytet VIII Fundusze na rzecz edukacji i włączania społecznego </t>
  </si>
  <si>
    <t>ZESPÓŁ SZKÓŁ MECHANICZNYCH IM. STEFANA CZARNIECKIEGO W ŁAPACH</t>
  </si>
  <si>
    <t>1.1.1.4</t>
  </si>
  <si>
    <t>CENTRUM KSZTAŁCENIA ZAWODOWEGO W ŁAPACH</t>
  </si>
  <si>
    <t>1.1.1.5</t>
  </si>
  <si>
    <t>Kształcenie zawodowe na potrzeby Gospodarki 4.0 i Gospodarki Obiegu Zamkniętego  - Fundusze Europejskie dla Podlaskiego na lata 2021 - 2027</t>
  </si>
  <si>
    <t>1.1.1.6</t>
  </si>
  <si>
    <t>Kształcenie zawodowe na potrzeby Gospodarki 4.0 i Gospodarki Obiegu Zamkniętego  - Fundusze Europejskie dla Podlaskiego na lata 2021-2027</t>
  </si>
  <si>
    <t>ZESPÓŁ SZKÓŁ W CZARNEJ BIAŁOSTOCKIEJ</t>
  </si>
  <si>
    <t>1.1.1.7</t>
  </si>
  <si>
    <t>Kształcenie zawodowe na potrzeby Gospodarki 4.0 i Gospodarki Obiegu Zamkniętego - Fundusze Europejskie dla Podlaskiego na lata 2021 - 2027</t>
  </si>
  <si>
    <t>1.1.2</t>
  </si>
  <si>
    <t>1.1.2.1</t>
  </si>
  <si>
    <t>1.1.2.2</t>
  </si>
  <si>
    <t xml:space="preserve">Dostosowanie i modernizacja pomieszczeń na potrzeb utworzenia laboratorium Smart Lab oraz dostosowanie i modernizacja sal zgodnie z Programami Rozwojowymi Szkół  - Kształcenie zawodowe na potrzeby Gospodarki 4.0 i Gospodarki Obiegu Zamkniętego </t>
  </si>
  <si>
    <t>1.2</t>
  </si>
  <si>
    <t>Wydatki na programy, projekty lub zadania związane z umowami partnerstwa publiczno-prywatnego:</t>
  </si>
  <si>
    <t>1.2.1</t>
  </si>
  <si>
    <t>1.2.2</t>
  </si>
  <si>
    <t>1.3</t>
  </si>
  <si>
    <t>Wydatki na programy, projekty lub zadania pozostałe (inne niż wymienione w pkt 1.1 i 1.2):</t>
  </si>
  <si>
    <t>1.3.1</t>
  </si>
  <si>
    <t>1.3.1.1</t>
  </si>
  <si>
    <t>1.3.1.2</t>
  </si>
  <si>
    <t>1.3.1.3</t>
  </si>
  <si>
    <t>1.3.1.4</t>
  </si>
  <si>
    <t xml:space="preserve">Remont drogi powiatowej Nr 1448B na odcinku Podozierany - granica Gminy Michałowo (Gm. Gródek) - Rządowy Fundusz Rozwoju Dróg </t>
  </si>
  <si>
    <t>POWIATOWY ZARZĄD DRÓG W BIAŁYMSTOKU</t>
  </si>
  <si>
    <t>1.3.1.5</t>
  </si>
  <si>
    <t>1.3.1.6</t>
  </si>
  <si>
    <t>1.3.1.7</t>
  </si>
  <si>
    <t>1.3.1.8</t>
  </si>
  <si>
    <t>1.3.1.9</t>
  </si>
  <si>
    <t>1.3.2</t>
  </si>
  <si>
    <t>1.3.2.1</t>
  </si>
  <si>
    <t>Budowa budynku usługowo - biurowego na potrzeby Powiatowego Urzędu Pracy w Białymstoku w systemie zaprojektuj i wybuduj - Rządowy Fundusz Polski Ład: Program Inwestycji Strategicznych</t>
  </si>
  <si>
    <t>1.3.2.2</t>
  </si>
  <si>
    <t>Przebudowa z rozbudową drogi powiatowej Nr 1438B Załuki - Kondycja - Borki wraz z budową mostu przez rz. Słoja k/m Kondycja (Gm. Gródek)  - Rządowy Fundusz Rozwoju Dróg</t>
  </si>
  <si>
    <t>1.3.2.3</t>
  </si>
  <si>
    <t>1.3.2.4</t>
  </si>
  <si>
    <t>Przebudowa z rozbudową drogi powiatowej Nr 1501B w m. Zalesiany (Gm. Turośń Kościelna) - Rządowy Fundusz Rozwoju Dróg</t>
  </si>
  <si>
    <t>1.3.2.5</t>
  </si>
  <si>
    <t>Przebudowa z rozbudową drogi powiatowej Nr 1969 B na odcinku Targonie Wity  - Zawady Kolonia (Gmina Zawady)  - Rządowy Fundusz Rozwoju Dróg</t>
  </si>
  <si>
    <t>1.3.2.6</t>
  </si>
  <si>
    <t>Rozbiórka i budowa mostu przez rz. Białą wraz z przebudową odcinka drogi powiatowej Nr 1392B k/m Fasty (Gm. Dobrzyniewo Duże) - Rządowy Fundusz Rozwoju Dróg</t>
  </si>
  <si>
    <t>1.3.2.7</t>
  </si>
  <si>
    <t>Rozbudowa drogi powiatowej Nr 1429B na odcinku Ciasne - Ogrodniczki (Gm. Supraśl)  - Rządowy Fundusz Rozwoju Dróg</t>
  </si>
  <si>
    <t>1.3.2.8</t>
  </si>
  <si>
    <t>1.3.2.9</t>
  </si>
  <si>
    <t>1.3.2.10</t>
  </si>
  <si>
    <t>Wykonanie dokumentacji projektowej dwóch budynków magazynowych podwójnego przeznaczenia na potrzeby ochrony ludności i obrony cywilnej - Program Ochrony Ludności i Obrony Cywilnej na lata 2025 - 2026</t>
  </si>
  <si>
    <t>1.3.2.11</t>
  </si>
  <si>
    <t>Przebudowa z rozbudową drogi powiatowej Nr 1377B na odcinku Tykocin - Kiermusy - Nieciece - Łopuchowo - Etap I  (Gm. Tykocin) - Rządowy Fundusz Rozwoju Dróg</t>
  </si>
  <si>
    <t>1.3.2.12</t>
  </si>
  <si>
    <t>Remont zabytkowego dworu w Krasnem - siedziby Domu Dziecka Nr 2 - prace budowlane (architektura), instalacje elektryczne i SSP - etap II  - Rządowy Program Odbudowy Zabytków</t>
  </si>
  <si>
    <t>CENTRUM ADMINISTRACYJNE OBSŁUGI PLACÓWEK OPIEKUŃCZO - WYCHOWAWCZYCH IM. JANUSZA KORCZAKA W KRASNEM</t>
  </si>
  <si>
    <t>Przebudowa z rozbudową drogi powiatowej Nr 1549B na odcinku ul Kolejowej w Klepaczach (Gm. Choroszcz)</t>
  </si>
  <si>
    <t>Przebudowa z rozbudową drogi powiatowej Nr 1497B na odcinku Kolonia Koplany - Brończany - Stacja Lewickie - etap I (Gm.Juchnowiec Kościelny)</t>
  </si>
  <si>
    <t>Realizacja wydarzenia promującego pierogi w Powiecie Białostockim</t>
  </si>
  <si>
    <t>Realizacja wydarzenia promującego Powiat Białostocki pn. Światowe Mistrzostwa w pieczeniu Babki i Kiszki Ziemniaczanej</t>
  </si>
  <si>
    <t>SMART EDUCATIN for INDUSTRY 4.0 - Wzrost jakości kształcenia zawodowego na rzecz branży metalowo-drzewnej</t>
  </si>
  <si>
    <t>Dofinansowanie kosztów działalności Warsztatów Terapii Zajęciowej funkcjonujących na terenie Powiatu Białostockiego ze środków samorządu</t>
  </si>
  <si>
    <t>Modernizacja ewidencji gruntów i budynków oraz utworzenie baz danych: obiektów topograficznych BDOT500, sieci uzbrojenia terenu GESUT, ewidencji gruntów i budynków EGiB, opracowania numerycznej mapy ewidencyjnej</t>
  </si>
  <si>
    <t>Realizacja porozumień w sprawie ponoszenia wydatków na opiekę i wychowanie dzieci umieszczonych w rodzinnej pieczy zastępczej oraz średnich miesięcznych wydatków przeznaczonych na utrzymanie dzieci w regionalnej placówce opiekuńczo - terapeutycznej</t>
  </si>
  <si>
    <t>Umowa zlecająca prowadzenie placówki opiekuńczo - wychowawczej o typie interwencyjnym i socjalizacyjnym na 14 miejsc</t>
  </si>
  <si>
    <t>Umowa zlecająca prowadzenie placówki opiekuńczo - wychowawczej o typie interwencyjnym i socjalizacyjnym na 14 miejsc (kontynuacja)</t>
  </si>
  <si>
    <t>Utworzenie i prowadzenie zawodowych rodzin zastępczych</t>
  </si>
  <si>
    <t>Remont pomieszczeń na parterze w budynku przy ul. Słonimskiej 15/1 w Białymstoku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</si>
</sst>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8"/>
      <name val="Times New Roman"/>
    </font>
    <font>
      <sz val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ADD8E6"/>
      </patternFill>
    </fill>
    <fill>
      <patternFill patternType="solid">
        <fgColor rgb="FFFFFFFF"/>
      </patternFill>
    </fill>
    <fill>
      <patternFill patternType="solid">
        <fgColor rgb="FFF5F5D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6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4" fontId="1" fillId="3" borderId="1" xfId="0" applyNumberFormat="1" applyFont="1" applyFill="1" applyBorder="1" applyAlignment="1" applyProtection="1">
      <alignment horizontal="center" vertical="center"/>
    </xf>
    <xf numFmtId="4" fontId="1" fillId="3" borderId="1" xfId="0" applyNumberFormat="1" applyFont="1" applyFill="1" applyBorder="1" applyAlignment="1" applyProtection="1">
      <alignment horizontal="left" vertical="center" wrapText="1"/>
    </xf>
    <xf numFmtId="4" fontId="1" fillId="3" borderId="1" xfId="0" applyNumberFormat="1" applyFont="1" applyFill="1" applyBorder="1" applyAlignment="1" applyProtection="1">
      <alignment horizontal="center" vertical="center" wrapText="1"/>
    </xf>
    <xf numFmtId="1" fontId="1" fillId="3" borderId="1" xfId="0" applyNumberFormat="1" applyFont="1" applyFill="1" applyBorder="1" applyAlignment="1" applyProtection="1">
      <alignment horizontal="center" vertical="center"/>
    </xf>
    <xf numFmtId="4" fontId="1" fillId="3" borderId="1" xfId="0" applyNumberFormat="1" applyFont="1" applyFill="1" applyBorder="1" applyAlignment="1" applyProtection="1">
      <alignment horizontal="right" vertical="center" wrapText="1"/>
    </xf>
    <xf numFmtId="4" fontId="1" fillId="3" borderId="1" xfId="0" applyNumberFormat="1" applyFont="1" applyFill="1" applyBorder="1" applyAlignment="1" applyProtection="1">
      <alignment horizontal="right" vertical="center"/>
    </xf>
    <xf numFmtId="10" fontId="1" fillId="4" borderId="1" xfId="0" applyNumberFormat="1" applyFont="1" applyFill="1" applyBorder="1" applyAlignment="1" applyProtection="1">
      <alignment horizontal="center" vertical="center"/>
    </xf>
    <xf numFmtId="4" fontId="2" fillId="3" borderId="1" xfId="0" applyNumberFormat="1" applyFont="1" applyFill="1" applyBorder="1" applyAlignment="1" applyProtection="1">
      <alignment horizontal="center" vertical="center"/>
    </xf>
    <xf numFmtId="4" fontId="2" fillId="3" borderId="1" xfId="0" applyNumberFormat="1" applyFont="1" applyFill="1" applyBorder="1" applyAlignment="1" applyProtection="1">
      <alignment horizontal="left" vertical="center" wrapText="1"/>
    </xf>
    <xf numFmtId="4" fontId="2" fillId="5" borderId="1" xfId="0" applyNumberFormat="1" applyFont="1" applyFill="1" applyBorder="1" applyAlignment="1" applyProtection="1">
      <alignment horizontal="center" vertical="center" wrapText="1"/>
    </xf>
    <xf numFmtId="1" fontId="2" fillId="5" borderId="1" xfId="0" applyNumberFormat="1" applyFont="1" applyFill="1" applyBorder="1" applyAlignment="1" applyProtection="1">
      <alignment horizontal="center" vertical="center"/>
    </xf>
    <xf numFmtId="4" fontId="2" fillId="5" borderId="1" xfId="0" applyNumberFormat="1" applyFont="1" applyFill="1" applyBorder="1" applyAlignment="1" applyProtection="1">
      <alignment horizontal="right" vertical="center" wrapText="1"/>
    </xf>
    <xf numFmtId="4" fontId="2" fillId="5" borderId="1" xfId="0" applyNumberFormat="1" applyFont="1" applyFill="1" applyBorder="1" applyAlignment="1" applyProtection="1">
      <alignment horizontal="right" vertical="center"/>
    </xf>
    <xf numFmtId="4" fontId="2" fillId="3" borderId="1" xfId="0" applyNumberFormat="1" applyFont="1" applyFill="1" applyBorder="1" applyAlignment="1" applyProtection="1">
      <alignment horizontal="right" vertical="center"/>
    </xf>
    <xf numFmtId="10" fontId="2" fillId="4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</cellXfs>
  <cellStyles count="1">
    <cellStyle name="Normalny" xfId="0" builtinId="0"/>
  </cellStyles>
  <dxfs count="12"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  <dxf>
      <fill>
        <patternFill patternType="solid">
          <bgColor rgb="FFCD5C5C"/>
        </patternFill>
      </fill>
    </dxf>
    <dxf>
      <fill>
        <patternFill patternType="solid">
          <bgColor rgb="FFADFF2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view="pageBreakPreview" zoomScaleNormal="100" zoomScaleSheetLayoutView="100" workbookViewId="0">
      <selection activeCell="S11" sqref="S11"/>
    </sheetView>
  </sheetViews>
  <sheetFormatPr defaultRowHeight="15" x14ac:dyDescent="0.25"/>
  <cols>
    <col min="1" max="1" width="7.140625" style="19" customWidth="1"/>
    <col min="2" max="2" width="42.85546875" style="3" customWidth="1"/>
    <col min="3" max="3" width="22.42578125" style="19" customWidth="1"/>
    <col min="4" max="5" width="14.28515625" style="19" customWidth="1"/>
    <col min="6" max="7" width="14.28515625" style="3" customWidth="1"/>
    <col min="8" max="16" width="14.28515625" style="3" hidden="1" customWidth="1"/>
    <col min="17" max="17" width="14.28515625" style="3" customWidth="1"/>
    <col min="18" max="18" width="14.28515625" style="19" customWidth="1"/>
    <col min="19" max="19" width="14.28515625" style="3" customWidth="1"/>
    <col min="20" max="20" width="14.28515625" style="19" customWidth="1"/>
    <col min="21" max="16384" width="9.140625" style="3"/>
  </cols>
  <sheetData>
    <row r="1" spans="1:20" ht="4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4" t="s">
        <v>20</v>
      </c>
      <c r="B2" s="5" t="s">
        <v>21</v>
      </c>
      <c r="C2" s="6"/>
      <c r="D2" s="7"/>
      <c r="E2" s="7"/>
      <c r="F2" s="8">
        <f>IF(ISNUMBER(VLOOKUP("1.1",A2:T44,6,FALSE)),ROUND(VLOOKUP("1.1",A2:T44,6,FALSE),4),0) + IF(ISNUMBER(VLOOKUP("1.2",A2:T44,6,FALSE)),ROUND(VLOOKUP("1.2",A2:T44,6,FALSE),4),0) + IF(ISNUMBER(VLOOKUP("1.3",A2:T44,6,FALSE)),ROUND(VLOOKUP("1.3",A2:T44,6,FALSE),4),0)</f>
        <v>139669954.09</v>
      </c>
      <c r="G2" s="8">
        <f>IF(ISNUMBER(VLOOKUP("1.1",A2:T44,7,FALSE)),ROUND(VLOOKUP("1.1",A2:T44,7,FALSE),4),0) + IF(ISNUMBER(VLOOKUP("1.2",A2:T44,7,FALSE)),ROUND(VLOOKUP("1.2",A2:T44,7,FALSE),4),0) + IF(ISNUMBER(VLOOKUP("1.3",A2:T44,7,FALSE)),ROUND(VLOOKUP("1.3",A2:T44,7,FALSE),4),0)</f>
        <v>50853796.869999997</v>
      </c>
      <c r="H2" s="9">
        <f>IF(ISNUMBER(VLOOKUP("1.1",A2:T44,8,FALSE)),ROUND(VLOOKUP("1.1",A2:T44,8,FALSE),4),0) + IF(ISNUMBER(VLOOKUP("1.2",A2:T44,8,FALSE)),ROUND(VLOOKUP("1.2",A2:T44,8,FALSE),4),0) + IF(ISNUMBER(VLOOKUP("1.3",A2:T44,8,FALSE)),ROUND(VLOOKUP("1.3",A2:T44,8,FALSE),4),0)</f>
        <v>65274788.75</v>
      </c>
      <c r="I2" s="9">
        <f>IF(ISNUMBER(VLOOKUP("1.1",A2:T44,9,FALSE)),ROUND(VLOOKUP("1.1",A2:T44,9,FALSE),4),0) + IF(ISNUMBER(VLOOKUP("1.2",A2:T44,9,FALSE)),ROUND(VLOOKUP("1.2",A2:T44,9,FALSE),4),0) + IF(ISNUMBER(VLOOKUP("1.3",A2:T44,9,FALSE)),ROUND(VLOOKUP("1.3",A2:T44,9,FALSE),4),0)</f>
        <v>2273916.41</v>
      </c>
      <c r="J2" s="9">
        <f>IF(ISNUMBER(VLOOKUP("1.1",A2:T44,10,FALSE)),ROUND(VLOOKUP("1.1",A2:T44,10,FALSE),4),0) + IF(ISNUMBER(VLOOKUP("1.2",A2:T44,10,FALSE)),ROUND(VLOOKUP("1.2",A2:T44,10,FALSE),4),0) + IF(ISNUMBER(VLOOKUP("1.3",A2:T44,10,FALSE)),ROUND(VLOOKUP("1.3",A2:T44,10,FALSE),4),0)</f>
        <v>1527383.18</v>
      </c>
      <c r="K2" s="9">
        <f>IF(ISNUMBER(VLOOKUP("1.1",A2:T44,11,FALSE)),ROUND(VLOOKUP("1.1",A2:T44,11,FALSE),4),0) + IF(ISNUMBER(VLOOKUP("1.2",A2:T44,11,FALSE)),ROUND(VLOOKUP("1.2",A2:T44,11,FALSE),4),0) + IF(ISNUMBER(VLOOKUP("1.3",A2:T44,11,FALSE)),ROUND(VLOOKUP("1.3",A2:T44,11,FALSE),4),0)</f>
        <v>1378935</v>
      </c>
      <c r="L2" s="9">
        <f>IF(ISNUMBER(VLOOKUP("1.1",A2:T44,12,FALSE)),ROUND(VLOOKUP("1.1",A2:T44,12,FALSE),4),0) + IF(ISNUMBER(VLOOKUP("1.2",A2:T44,12,FALSE)),ROUND(VLOOKUP("1.2",A2:T44,12,FALSE),4),0) + IF(ISNUMBER(VLOOKUP("1.3",A2:T44,12,FALSE)),ROUND(VLOOKUP("1.3",A2:T44,12,FALSE),4),0)</f>
        <v>1367928</v>
      </c>
      <c r="M2" s="9">
        <f>IF(ISNUMBER(VLOOKUP("1.1",A2:T44,13,FALSE)),ROUND(VLOOKUP("1.1",A2:T44,13,FALSE),4),0) + IF(ISNUMBER(VLOOKUP("1.2",A2:T44,13,FALSE)),ROUND(VLOOKUP("1.2",A2:T44,13,FALSE),4),0) + IF(ISNUMBER(VLOOKUP("1.3",A2:T44,13,FALSE)),ROUND(VLOOKUP("1.3",A2:T44,13,FALSE),4),0)</f>
        <v>1283624</v>
      </c>
      <c r="N2" s="9">
        <f>IF(ISNUMBER(VLOOKUP("1.1",A2:T44,14,FALSE)),ROUND(VLOOKUP("1.1",A2:T44,14,FALSE),4),0) + IF(ISNUMBER(VLOOKUP("1.2",A2:T44,14,FALSE)),ROUND(VLOOKUP("1.2",A2:T44,14,FALSE),4),0) + IF(ISNUMBER(VLOOKUP("1.3",A2:T44,14,FALSE)),ROUND(VLOOKUP("1.3",A2:T44,14,FALSE),4),0)</f>
        <v>1267761</v>
      </c>
      <c r="O2" s="9">
        <f>IF(ISNUMBER(VLOOKUP("1.1",A2:T44,15,FALSE)),ROUND(VLOOKUP("1.1",A2:T44,15,FALSE),4),0) + IF(ISNUMBER(VLOOKUP("1.2",A2:T44,15,FALSE)),ROUND(VLOOKUP("1.2",A2:T44,15,FALSE),4),0) + IF(ISNUMBER(VLOOKUP("1.3",A2:T44,15,FALSE)),ROUND(VLOOKUP("1.3",A2:T44,15,FALSE),4),0)</f>
        <v>1238128</v>
      </c>
      <c r="P2" s="9">
        <f>IF(ISNUMBER(VLOOKUP("1.1",A2:T44,16,FALSE)),ROUND(VLOOKUP("1.1",A2:T44,16,FALSE),4),0) + IF(ISNUMBER(VLOOKUP("1.2",A2:T44,16,FALSE)),ROUND(VLOOKUP("1.2",A2:T44,16,FALSE),4),0) + IF(ISNUMBER(VLOOKUP("1.3",A2:T44,16,FALSE)),ROUND(VLOOKUP("1.3",A2:T44,16,FALSE),4),0)</f>
        <v>1215539</v>
      </c>
      <c r="Q2" s="9">
        <f>IF(ISNUMBER(VLOOKUP("1.1",A2:T44,17,FALSE)),ROUND(VLOOKUP("1.1",A2:T44,17,FALSE),4),0) + IF(ISNUMBER(VLOOKUP("1.2",A2:T44,17,FALSE)),ROUND(VLOOKUP("1.2",A2:T44,17,FALSE),4),0) + IF(ISNUMBER(VLOOKUP("1.3",A2:T44,17,FALSE)),ROUND(VLOOKUP("1.3",A2:T44,17,FALSE),4),0)</f>
        <v>0</v>
      </c>
      <c r="R2" s="10">
        <f t="shared" ref="R2:R43" si="0">IF($G2=0,0,$Q2/$G2)</f>
        <v>0</v>
      </c>
      <c r="S2" s="9">
        <f t="shared" ref="S2:S43" si="1">$F2-($G2-$Q2)-SUM($H2:$P2)</f>
        <v>11988153.879999995</v>
      </c>
      <c r="T2" s="10">
        <f t="shared" ref="T2:T43" si="2">IF($F2=0,0,$S2/$F2)</f>
        <v>8.583201704408891E-2</v>
      </c>
    </row>
    <row r="3" spans="1:20" x14ac:dyDescent="0.25">
      <c r="A3" s="4" t="s">
        <v>22</v>
      </c>
      <c r="B3" s="5" t="s">
        <v>23</v>
      </c>
      <c r="C3" s="6"/>
      <c r="D3" s="7"/>
      <c r="E3" s="7"/>
      <c r="F3" s="8">
        <f>IF(ISNUMBER(VLOOKUP("1.1.1",A2:T44,6,FALSE)),ROUND(VLOOKUP("1.1.1",A2:T44,6,FALSE),4),0) + IF(ISNUMBER(VLOOKUP("1.2.1",A2:T44,6,FALSE)),ROUND(VLOOKUP("1.2.1",A2:T44,6,FALSE),4),0) + IF(ISNUMBER(VLOOKUP("1.3.1",A2:T44,6,FALSE)),ROUND(VLOOKUP("1.3.1",A2:T44,6,FALSE),4),0)</f>
        <v>32735325.170000002</v>
      </c>
      <c r="G3" s="8">
        <f>IF(ISNUMBER(VLOOKUP("1.1.1",A2:T44,7,FALSE)),ROUND(VLOOKUP("1.1.1",A2:T44,7,FALSE),4),0) + IF(ISNUMBER(VLOOKUP("1.2.1",A2:T44,7,FALSE)),ROUND(VLOOKUP("1.2.1",A2:T44,7,FALSE),4),0) + IF(ISNUMBER(VLOOKUP("1.3.1",A2:T44,7,FALSE)),ROUND(VLOOKUP("1.3.1",A2:T44,7,FALSE),4),0)</f>
        <v>5707503.4000000004</v>
      </c>
      <c r="H3" s="9">
        <f>IF(ISNUMBER(VLOOKUP("1.1.1",A2:T44,8,FALSE)),ROUND(VLOOKUP("1.1.1",A2:T44,8,FALSE),4),0) + IF(ISNUMBER(VLOOKUP("1.2.1",A2:T44,8,FALSE)),ROUND(VLOOKUP("1.2.1",A2:T44,8,FALSE),4),0) + IF(ISNUMBER(VLOOKUP("1.3.1",A2:T44,8,FALSE)),ROUND(VLOOKUP("1.3.1",A2:T44,8,FALSE),4),0)</f>
        <v>5764274.6899999995</v>
      </c>
      <c r="I3" s="9">
        <f>IF(ISNUMBER(VLOOKUP("1.1.1",A2:T44,9,FALSE)),ROUND(VLOOKUP("1.1.1",A2:T44,9,FALSE),4),0) + IF(ISNUMBER(VLOOKUP("1.2.1",A2:T44,9,FALSE)),ROUND(VLOOKUP("1.2.1",A2:T44,9,FALSE),4),0) + IF(ISNUMBER(VLOOKUP("1.3.1",A2:T44,9,FALSE)),ROUND(VLOOKUP("1.3.1",A2:T44,9,FALSE),4),0)</f>
        <v>2146652.3199999998</v>
      </c>
      <c r="J3" s="9">
        <f>IF(ISNUMBER(VLOOKUP("1.1.1",A2:T44,10,FALSE)),ROUND(VLOOKUP("1.1.1",A2:T44,10,FALSE),4),0) + IF(ISNUMBER(VLOOKUP("1.2.1",A2:T44,10,FALSE)),ROUND(VLOOKUP("1.2.1",A2:T44,10,FALSE),4),0) + IF(ISNUMBER(VLOOKUP("1.3.1",A2:T44,10,FALSE)),ROUND(VLOOKUP("1.3.1",A2:T44,10,FALSE),4),0)</f>
        <v>1527383.18</v>
      </c>
      <c r="K3" s="9">
        <f>IF(ISNUMBER(VLOOKUP("1.1.1",A2:T44,11,FALSE)),ROUND(VLOOKUP("1.1.1",A2:T44,11,FALSE),4),0) + IF(ISNUMBER(VLOOKUP("1.2.1",A2:T44,11,FALSE)),ROUND(VLOOKUP("1.2.1",A2:T44,11,FALSE),4),0) + IF(ISNUMBER(VLOOKUP("1.3.1",A2:T44,11,FALSE)),ROUND(VLOOKUP("1.3.1",A2:T44,11,FALSE),4),0)</f>
        <v>1378935</v>
      </c>
      <c r="L3" s="9">
        <f>IF(ISNUMBER(VLOOKUP("1.1.1",A2:T44,12,FALSE)),ROUND(VLOOKUP("1.1.1",A2:T44,12,FALSE),4),0) + IF(ISNUMBER(VLOOKUP("1.2.1",A2:T44,12,FALSE)),ROUND(VLOOKUP("1.2.1",A2:T44,12,FALSE),4),0) + IF(ISNUMBER(VLOOKUP("1.3.1",A2:T44,12,FALSE)),ROUND(VLOOKUP("1.3.1",A2:T44,12,FALSE),4),0)</f>
        <v>1367928</v>
      </c>
      <c r="M3" s="9">
        <f>IF(ISNUMBER(VLOOKUP("1.1.1",A2:T44,13,FALSE)),ROUND(VLOOKUP("1.1.1",A2:T44,13,FALSE),4),0) + IF(ISNUMBER(VLOOKUP("1.2.1",A2:T44,13,FALSE)),ROUND(VLOOKUP("1.2.1",A2:T44,13,FALSE),4),0) + IF(ISNUMBER(VLOOKUP("1.3.1",A2:T44,13,FALSE)),ROUND(VLOOKUP("1.3.1",A2:T44,13,FALSE),4),0)</f>
        <v>1283624</v>
      </c>
      <c r="N3" s="9">
        <f>IF(ISNUMBER(VLOOKUP("1.1.1",A2:T44,14,FALSE)),ROUND(VLOOKUP("1.1.1",A2:T44,14,FALSE),4),0) + IF(ISNUMBER(VLOOKUP("1.2.1",A2:T44,14,FALSE)),ROUND(VLOOKUP("1.2.1",A2:T44,14,FALSE),4),0) + IF(ISNUMBER(VLOOKUP("1.3.1",A2:T44,14,FALSE)),ROUND(VLOOKUP("1.3.1",A2:T44,14,FALSE),4),0)</f>
        <v>1267761</v>
      </c>
      <c r="O3" s="9">
        <f>IF(ISNUMBER(VLOOKUP("1.1.1",A2:T44,15,FALSE)),ROUND(VLOOKUP("1.1.1",A2:T44,15,FALSE),4),0) + IF(ISNUMBER(VLOOKUP("1.2.1",A2:T44,15,FALSE)),ROUND(VLOOKUP("1.2.1",A2:T44,15,FALSE),4),0) + IF(ISNUMBER(VLOOKUP("1.3.1",A2:T44,15,FALSE)),ROUND(VLOOKUP("1.3.1",A2:T44,15,FALSE),4),0)</f>
        <v>1238128</v>
      </c>
      <c r="P3" s="9">
        <f>IF(ISNUMBER(VLOOKUP("1.1.1",A2:T44,16,FALSE)),ROUND(VLOOKUP("1.1.1",A2:T44,16,FALSE),4),0) + IF(ISNUMBER(VLOOKUP("1.2.1",A2:T44,16,FALSE)),ROUND(VLOOKUP("1.2.1",A2:T44,16,FALSE),4),0) + IF(ISNUMBER(VLOOKUP("1.3.1",A2:T44,16,FALSE)),ROUND(VLOOKUP("1.3.1",A2:T44,16,FALSE),4),0)</f>
        <v>1215539</v>
      </c>
      <c r="Q3" s="9">
        <f>IF(ISNUMBER(VLOOKUP("1.1.1",A2:T44,17,FALSE)),ROUND(VLOOKUP("1.1.1",A2:T44,17,FALSE),4),0) + IF(ISNUMBER(VLOOKUP("1.2.1",A2:T44,17,FALSE)),ROUND(VLOOKUP("1.2.1",A2:T44,17,FALSE),4),0) + IF(ISNUMBER(VLOOKUP("1.3.1",A2:T44,17,FALSE)),ROUND(VLOOKUP("1.3.1",A2:T44,17,FALSE),4),0)</f>
        <v>0</v>
      </c>
      <c r="R3" s="10">
        <f t="shared" si="0"/>
        <v>0</v>
      </c>
      <c r="S3" s="9">
        <f t="shared" si="1"/>
        <v>9837596.5800000057</v>
      </c>
      <c r="T3" s="10">
        <f t="shared" si="2"/>
        <v>0.30051928700606229</v>
      </c>
    </row>
    <row r="4" spans="1:20" x14ac:dyDescent="0.25">
      <c r="A4" s="4" t="s">
        <v>24</v>
      </c>
      <c r="B4" s="5" t="s">
        <v>25</v>
      </c>
      <c r="C4" s="6"/>
      <c r="D4" s="7"/>
      <c r="E4" s="7"/>
      <c r="F4" s="8">
        <f>IF(ISNUMBER(VLOOKUP("1.1.2",A2:T44,6,FALSE)),ROUND(VLOOKUP("1.1.2",A2:T44,6,FALSE),4),0) + IF(ISNUMBER(VLOOKUP("1.2.2",A2:T44,6,FALSE)),ROUND(VLOOKUP("1.2.2",A2:T44,6,FALSE),4),0) + IF(ISNUMBER(VLOOKUP("1.3.2",A2:T44,6,FALSE)),ROUND(VLOOKUP("1.3.2",A2:T44,6,FALSE),4),0)</f>
        <v>106934628.92</v>
      </c>
      <c r="G4" s="8">
        <f>IF(ISNUMBER(VLOOKUP("1.1.2",A2:T44,7,FALSE)),ROUND(VLOOKUP("1.1.2",A2:T44,7,FALSE),4),0) + IF(ISNUMBER(VLOOKUP("1.2.2",A2:T44,7,FALSE)),ROUND(VLOOKUP("1.2.2",A2:T44,7,FALSE),4),0) + IF(ISNUMBER(VLOOKUP("1.3.2",A2:T44,7,FALSE)),ROUND(VLOOKUP("1.3.2",A2:T44,7,FALSE),4),0)</f>
        <v>45146293.470000006</v>
      </c>
      <c r="H4" s="9">
        <f>IF(ISNUMBER(VLOOKUP("1.1.2",A2:T44,8,FALSE)),ROUND(VLOOKUP("1.1.2",A2:T44,8,FALSE),4),0) + IF(ISNUMBER(VLOOKUP("1.2.2",A2:T44,8,FALSE)),ROUND(VLOOKUP("1.2.2",A2:T44,8,FALSE),4),0) + IF(ISNUMBER(VLOOKUP("1.3.2",A2:T44,8,FALSE)),ROUND(VLOOKUP("1.3.2",A2:T44,8,FALSE),4),0)</f>
        <v>59510514.060000002</v>
      </c>
      <c r="I4" s="9">
        <f>IF(ISNUMBER(VLOOKUP("1.1.2",A2:T44,9,FALSE)),ROUND(VLOOKUP("1.1.2",A2:T44,9,FALSE),4),0) + IF(ISNUMBER(VLOOKUP("1.2.2",A2:T44,9,FALSE)),ROUND(VLOOKUP("1.2.2",A2:T44,9,FALSE),4),0) + IF(ISNUMBER(VLOOKUP("1.3.2",A2:T44,9,FALSE)),ROUND(VLOOKUP("1.3.2",A2:T44,9,FALSE),4),0)</f>
        <v>127264.09</v>
      </c>
      <c r="J4" s="9">
        <f>IF(ISNUMBER(VLOOKUP("1.1.2",A2:T44,10,FALSE)),ROUND(VLOOKUP("1.1.2",A2:T44,10,FALSE),4),0) + IF(ISNUMBER(VLOOKUP("1.2.2",A2:T44,10,FALSE)),ROUND(VLOOKUP("1.2.2",A2:T44,10,FALSE),4),0) + IF(ISNUMBER(VLOOKUP("1.3.2",A2:T44,10,FALSE)),ROUND(VLOOKUP("1.3.2",A2:T44,10,FALSE),4),0)</f>
        <v>0</v>
      </c>
      <c r="K4" s="9">
        <f>IF(ISNUMBER(VLOOKUP("1.1.2",A2:T44,11,FALSE)),ROUND(VLOOKUP("1.1.2",A2:T44,11,FALSE),4),0) + IF(ISNUMBER(VLOOKUP("1.2.2",A2:T44,11,FALSE)),ROUND(VLOOKUP("1.2.2",A2:T44,11,FALSE),4),0) + IF(ISNUMBER(VLOOKUP("1.3.2",A2:T44,11,FALSE)),ROUND(VLOOKUP("1.3.2",A2:T44,11,FALSE),4),0)</f>
        <v>0</v>
      </c>
      <c r="L4" s="9">
        <f>IF(ISNUMBER(VLOOKUP("1.1.2",A2:T44,12,FALSE)),ROUND(VLOOKUP("1.1.2",A2:T44,12,FALSE),4),0) + IF(ISNUMBER(VLOOKUP("1.2.2",A2:T44,12,FALSE)),ROUND(VLOOKUP("1.2.2",A2:T44,12,FALSE),4),0) + IF(ISNUMBER(VLOOKUP("1.3.2",A2:T44,12,FALSE)),ROUND(VLOOKUP("1.3.2",A2:T44,12,FALSE),4),0)</f>
        <v>0</v>
      </c>
      <c r="M4" s="9">
        <f>IF(ISNUMBER(VLOOKUP("1.1.2",A2:T44,13,FALSE)),ROUND(VLOOKUP("1.1.2",A2:T44,13,FALSE),4),0) + IF(ISNUMBER(VLOOKUP("1.2.2",A2:T44,13,FALSE)),ROUND(VLOOKUP("1.2.2",A2:T44,13,FALSE),4),0) + IF(ISNUMBER(VLOOKUP("1.3.2",A2:T44,13,FALSE)),ROUND(VLOOKUP("1.3.2",A2:T44,13,FALSE),4),0)</f>
        <v>0</v>
      </c>
      <c r="N4" s="9">
        <f>IF(ISNUMBER(VLOOKUP("1.1.2",A2:T44,14,FALSE)),ROUND(VLOOKUP("1.1.2",A2:T44,14,FALSE),4),0) + IF(ISNUMBER(VLOOKUP("1.2.2",A2:T44,14,FALSE)),ROUND(VLOOKUP("1.2.2",A2:T44,14,FALSE),4),0) + IF(ISNUMBER(VLOOKUP("1.3.2",A2:T44,14,FALSE)),ROUND(VLOOKUP("1.3.2",A2:T44,14,FALSE),4),0)</f>
        <v>0</v>
      </c>
      <c r="O4" s="9">
        <f>IF(ISNUMBER(VLOOKUP("1.1.2",A2:T44,15,FALSE)),ROUND(VLOOKUP("1.1.2",A2:T44,15,FALSE),4),0) + IF(ISNUMBER(VLOOKUP("1.2.2",A2:T44,15,FALSE)),ROUND(VLOOKUP("1.2.2",A2:T44,15,FALSE),4),0) + IF(ISNUMBER(VLOOKUP("1.3.2",A2:T44,15,FALSE)),ROUND(VLOOKUP("1.3.2",A2:T44,15,FALSE),4),0)</f>
        <v>0</v>
      </c>
      <c r="P4" s="9">
        <f>IF(ISNUMBER(VLOOKUP("1.1.2",A2:T44,16,FALSE)),ROUND(VLOOKUP("1.1.2",A2:T44,16,FALSE),4),0) + IF(ISNUMBER(VLOOKUP("1.2.2",A2:T44,16,FALSE)),ROUND(VLOOKUP("1.2.2",A2:T44,16,FALSE),4),0) + IF(ISNUMBER(VLOOKUP("1.3.2",A2:T44,16,FALSE)),ROUND(VLOOKUP("1.3.2",A2:T44,16,FALSE),4),0)</f>
        <v>0</v>
      </c>
      <c r="Q4" s="9">
        <f>IF(ISNUMBER(VLOOKUP("1.1.2",A2:T44,17,FALSE)),ROUND(VLOOKUP("1.1.2",A2:T44,17,FALSE),4),0) + IF(ISNUMBER(VLOOKUP("1.2.2",A2:T44,17,FALSE)),ROUND(VLOOKUP("1.2.2",A2:T44,17,FALSE),4),0) + IF(ISNUMBER(VLOOKUP("1.3.2",A2:T44,17,FALSE)),ROUND(VLOOKUP("1.3.2",A2:T44,17,FALSE),4),0)</f>
        <v>0</v>
      </c>
      <c r="R4" s="10">
        <f t="shared" si="0"/>
        <v>0</v>
      </c>
      <c r="S4" s="9">
        <f t="shared" si="1"/>
        <v>2150557.2999999896</v>
      </c>
      <c r="T4" s="10">
        <f t="shared" si="2"/>
        <v>2.0110953034763564E-2</v>
      </c>
    </row>
    <row r="5" spans="1:20" ht="52.5" x14ac:dyDescent="0.25">
      <c r="A5" s="4" t="s">
        <v>26</v>
      </c>
      <c r="B5" s="5" t="s">
        <v>27</v>
      </c>
      <c r="C5" s="6"/>
      <c r="D5" s="7"/>
      <c r="E5" s="7"/>
      <c r="F5" s="8">
        <f>IF(ISNUMBER(VLOOKUP("1.1.1",A2:T44,6,FALSE)),ROUND(VLOOKUP("1.1.1",A2:T44,6,FALSE),4),0) + IF(ISNUMBER(VLOOKUP("1.1.2",A2:T44,6,FALSE)),ROUND(VLOOKUP("1.1.2",A2:T44,6,FALSE),4),0)</f>
        <v>4637157.82</v>
      </c>
      <c r="G5" s="8">
        <f>IF(ISNUMBER(VLOOKUP("1.1.1",A2:T44,7,FALSE)),ROUND(VLOOKUP("1.1.1",A2:T44,7,FALSE),4),0) + IF(ISNUMBER(VLOOKUP("1.1.2",A2:T44,7,FALSE)),ROUND(VLOOKUP("1.1.2",A2:T44,7,FALSE),4),0)</f>
        <v>1595708.29</v>
      </c>
      <c r="H5" s="9">
        <f>IF(ISNUMBER(VLOOKUP("1.1.1",A2:T44,8,FALSE)),ROUND(VLOOKUP("1.1.1",A2:T44,8,FALSE),4),0) + IF(ISNUMBER(VLOOKUP("1.1.2",A2:T44,8,FALSE)),ROUND(VLOOKUP("1.1.2",A2:T44,8,FALSE),4),0)</f>
        <v>2593008.94</v>
      </c>
      <c r="I5" s="9">
        <f>IF(ISNUMBER(VLOOKUP("1.1.1",A2:T44,9,FALSE)),ROUND(VLOOKUP("1.1.1",A2:T44,9,FALSE),4),0) + IF(ISNUMBER(VLOOKUP("1.1.2",A2:T44,9,FALSE)),ROUND(VLOOKUP("1.1.2",A2:T44,9,FALSE),4),0)</f>
        <v>362760.41000000003</v>
      </c>
      <c r="J5" s="9">
        <f>IF(ISNUMBER(VLOOKUP("1.1.1",A2:T44,10,FALSE)),ROUND(VLOOKUP("1.1.1",A2:T44,10,FALSE),4),0) + IF(ISNUMBER(VLOOKUP("1.1.2",A2:T44,10,FALSE)),ROUND(VLOOKUP("1.1.2",A2:T44,10,FALSE),4),0)</f>
        <v>85680.18</v>
      </c>
      <c r="K5" s="9">
        <f>IF(ISNUMBER(VLOOKUP("1.1.1",A2:T44,11,FALSE)),ROUND(VLOOKUP("1.1.1",A2:T44,11,FALSE),4),0) + IF(ISNUMBER(VLOOKUP("1.1.2",A2:T44,11,FALSE)),ROUND(VLOOKUP("1.1.2",A2:T44,11,FALSE),4),0)</f>
        <v>0</v>
      </c>
      <c r="L5" s="9">
        <f>IF(ISNUMBER(VLOOKUP("1.1.1",A2:T44,12,FALSE)),ROUND(VLOOKUP("1.1.1",A2:T44,12,FALSE),4),0) + IF(ISNUMBER(VLOOKUP("1.1.2",A2:T44,12,FALSE)),ROUND(VLOOKUP("1.1.2",A2:T44,12,FALSE),4),0)</f>
        <v>0</v>
      </c>
      <c r="M5" s="9">
        <f>IF(ISNUMBER(VLOOKUP("1.1.1",A2:T44,13,FALSE)),ROUND(VLOOKUP("1.1.1",A2:T44,13,FALSE),4),0) + IF(ISNUMBER(VLOOKUP("1.1.2",A2:T44,13,FALSE)),ROUND(VLOOKUP("1.1.2",A2:T44,13,FALSE),4),0)</f>
        <v>0</v>
      </c>
      <c r="N5" s="9">
        <f>IF(ISNUMBER(VLOOKUP("1.1.1",A2:T44,14,FALSE)),ROUND(VLOOKUP("1.1.1",A2:T44,14,FALSE),4),0) + IF(ISNUMBER(VLOOKUP("1.1.2",A2:T44,14,FALSE)),ROUND(VLOOKUP("1.1.2",A2:T44,14,FALSE),4),0)</f>
        <v>0</v>
      </c>
      <c r="O5" s="9">
        <f>IF(ISNUMBER(VLOOKUP("1.1.1",A2:T44,15,FALSE)),ROUND(VLOOKUP("1.1.1",A2:T44,15,FALSE),4),0) + IF(ISNUMBER(VLOOKUP("1.1.2",A2:T44,15,FALSE)),ROUND(VLOOKUP("1.1.2",A2:T44,15,FALSE),4),0)</f>
        <v>0</v>
      </c>
      <c r="P5" s="9">
        <f>IF(ISNUMBER(VLOOKUP("1.1.1",A2:T44,16,FALSE)),ROUND(VLOOKUP("1.1.1",A2:T44,16,FALSE),4),0) + IF(ISNUMBER(VLOOKUP("1.1.2",A2:T44,16,FALSE)),ROUND(VLOOKUP("1.1.2",A2:T44,16,FALSE),4),0)</f>
        <v>0</v>
      </c>
      <c r="Q5" s="9">
        <f>IF(ISNUMBER(VLOOKUP("1.1.1",A2:T44,17,FALSE)),ROUND(VLOOKUP("1.1.1",A2:T44,17,FALSE),4),0) + IF(ISNUMBER(VLOOKUP("1.1.2",A2:T44,17,FALSE)),ROUND(VLOOKUP("1.1.2",A2:T44,17,FALSE),4),0)</f>
        <v>0</v>
      </c>
      <c r="R5" s="10">
        <f t="shared" si="0"/>
        <v>0</v>
      </c>
      <c r="S5" s="9">
        <f t="shared" si="1"/>
        <v>0</v>
      </c>
      <c r="T5" s="10">
        <f t="shared" si="2"/>
        <v>0</v>
      </c>
    </row>
    <row r="6" spans="1:20" x14ac:dyDescent="0.25">
      <c r="A6" s="4" t="s">
        <v>28</v>
      </c>
      <c r="B6" s="5" t="s">
        <v>23</v>
      </c>
      <c r="C6" s="6"/>
      <c r="D6" s="7"/>
      <c r="E6" s="7"/>
      <c r="F6" s="8">
        <f>SUMIF(A7:A44, "1.1.1.*", F7:F44)</f>
        <v>3379973.85</v>
      </c>
      <c r="G6" s="8">
        <f>SUMIF(A7:A44, "1.1.1.*", G7:G44)</f>
        <v>1409372.66</v>
      </c>
      <c r="H6" s="9">
        <f>SUMIF(A7:A44, "1.1.1.*", H7:H44)</f>
        <v>1649424.6900000002</v>
      </c>
      <c r="I6" s="9">
        <f>SUMIF(A7:A44, "1.1.1.*", I7:I44)</f>
        <v>235496.32000000001</v>
      </c>
      <c r="J6" s="9">
        <f>SUMIF(A7:A44, "1.1.1.*", J7:J44)</f>
        <v>85680.18</v>
      </c>
      <c r="K6" s="9">
        <f>SUMIF(A7:A44, "1.1.1.*", K7:K44)</f>
        <v>0</v>
      </c>
      <c r="L6" s="9">
        <f>SUMIF(A7:A44, "1.1.1.*", L7:L44)</f>
        <v>0</v>
      </c>
      <c r="M6" s="9">
        <f>SUMIF(A7:A44, "1.1.1.*", M7:M44)</f>
        <v>0</v>
      </c>
      <c r="N6" s="9">
        <f>SUMIF(A7:A44, "1.1.1.*", N7:N44)</f>
        <v>0</v>
      </c>
      <c r="O6" s="9">
        <f>SUMIF(A7:A44, "1.1.1.*", O7:O44)</f>
        <v>0</v>
      </c>
      <c r="P6" s="9">
        <f>SUMIF(A7:A44, "1.1.1.*", P7:P44)</f>
        <v>0</v>
      </c>
      <c r="Q6" s="9">
        <f>SUMIF(A7:A44, "1.1.1.*", Q7:Q44)</f>
        <v>0</v>
      </c>
      <c r="R6" s="10">
        <f t="shared" si="0"/>
        <v>0</v>
      </c>
      <c r="S6" s="9">
        <f t="shared" si="1"/>
        <v>0</v>
      </c>
      <c r="T6" s="10">
        <f t="shared" si="2"/>
        <v>0</v>
      </c>
    </row>
    <row r="7" spans="1:20" ht="33.75" x14ac:dyDescent="0.25">
      <c r="A7" s="11" t="s">
        <v>29</v>
      </c>
      <c r="B7" s="12" t="s">
        <v>30</v>
      </c>
      <c r="C7" s="13" t="s">
        <v>31</v>
      </c>
      <c r="D7" s="14">
        <v>2025</v>
      </c>
      <c r="E7" s="14">
        <v>2027</v>
      </c>
      <c r="F7" s="15">
        <v>707042.07</v>
      </c>
      <c r="G7" s="15">
        <v>247464.74</v>
      </c>
      <c r="H7" s="16">
        <v>388873.14</v>
      </c>
      <c r="I7" s="16">
        <v>70704.19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">
        <v>0</v>
      </c>
      <c r="R7" s="18">
        <f t="shared" si="0"/>
        <v>0</v>
      </c>
      <c r="S7" s="16">
        <f t="shared" si="1"/>
        <v>0</v>
      </c>
      <c r="T7" s="18">
        <f t="shared" si="2"/>
        <v>0</v>
      </c>
    </row>
    <row r="8" spans="1:20" ht="45" x14ac:dyDescent="0.25">
      <c r="A8" s="11" t="s">
        <v>32</v>
      </c>
      <c r="B8" s="12" t="s">
        <v>33</v>
      </c>
      <c r="C8" s="13" t="s">
        <v>34</v>
      </c>
      <c r="D8" s="14">
        <v>2025</v>
      </c>
      <c r="E8" s="14">
        <v>2026</v>
      </c>
      <c r="F8" s="15">
        <v>1231500</v>
      </c>
      <c r="G8" s="15">
        <v>628500</v>
      </c>
      <c r="H8" s="16">
        <v>603000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">
        <v>0</v>
      </c>
      <c r="R8" s="18">
        <f t="shared" si="0"/>
        <v>0</v>
      </c>
      <c r="S8" s="16">
        <f t="shared" si="1"/>
        <v>0</v>
      </c>
      <c r="T8" s="18">
        <f t="shared" si="2"/>
        <v>0</v>
      </c>
    </row>
    <row r="9" spans="1:20" ht="56.25" x14ac:dyDescent="0.25">
      <c r="A9" s="11" t="s">
        <v>35</v>
      </c>
      <c r="B9" s="12" t="s">
        <v>36</v>
      </c>
      <c r="C9" s="13" t="s">
        <v>37</v>
      </c>
      <c r="D9" s="14">
        <v>2025</v>
      </c>
      <c r="E9" s="14">
        <v>2027</v>
      </c>
      <c r="F9" s="15">
        <v>965950</v>
      </c>
      <c r="G9" s="15">
        <v>479870</v>
      </c>
      <c r="H9" s="16">
        <v>469305</v>
      </c>
      <c r="I9" s="16">
        <v>16775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">
        <v>0</v>
      </c>
      <c r="R9" s="18">
        <f t="shared" si="0"/>
        <v>0</v>
      </c>
      <c r="S9" s="16">
        <f t="shared" si="1"/>
        <v>0</v>
      </c>
      <c r="T9" s="18">
        <f t="shared" si="2"/>
        <v>0</v>
      </c>
    </row>
    <row r="10" spans="1:20" ht="22.5" x14ac:dyDescent="0.25">
      <c r="A10" s="11" t="s">
        <v>38</v>
      </c>
      <c r="B10" s="12" t="s">
        <v>96</v>
      </c>
      <c r="C10" s="13" t="s">
        <v>39</v>
      </c>
      <c r="D10" s="14">
        <v>2025</v>
      </c>
      <c r="E10" s="14">
        <v>2026</v>
      </c>
      <c r="F10" s="15">
        <v>43632.82</v>
      </c>
      <c r="G10" s="15">
        <v>20072.82</v>
      </c>
      <c r="H10" s="16">
        <v>23560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">
        <v>0</v>
      </c>
      <c r="R10" s="18">
        <f t="shared" si="0"/>
        <v>0</v>
      </c>
      <c r="S10" s="16">
        <f t="shared" si="1"/>
        <v>0</v>
      </c>
      <c r="T10" s="18">
        <f t="shared" si="2"/>
        <v>0</v>
      </c>
    </row>
    <row r="11" spans="1:20" ht="56.25" x14ac:dyDescent="0.25">
      <c r="A11" s="11" t="s">
        <v>40</v>
      </c>
      <c r="B11" s="12" t="s">
        <v>41</v>
      </c>
      <c r="C11" s="13" t="s">
        <v>37</v>
      </c>
      <c r="D11" s="14">
        <v>2025</v>
      </c>
      <c r="E11" s="14">
        <v>2028</v>
      </c>
      <c r="F11" s="15">
        <v>292067.20000000001</v>
      </c>
      <c r="G11" s="15">
        <v>26581.200000000001</v>
      </c>
      <c r="H11" s="16">
        <v>107106.79</v>
      </c>
      <c r="I11" s="16">
        <v>94400.57</v>
      </c>
      <c r="J11" s="16">
        <v>63978.64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">
        <v>0</v>
      </c>
      <c r="R11" s="18">
        <f t="shared" si="0"/>
        <v>0</v>
      </c>
      <c r="S11" s="16">
        <f t="shared" si="1"/>
        <v>0</v>
      </c>
      <c r="T11" s="18">
        <f t="shared" si="2"/>
        <v>0</v>
      </c>
    </row>
    <row r="12" spans="1:20" ht="33.75" x14ac:dyDescent="0.25">
      <c r="A12" s="11" t="s">
        <v>42</v>
      </c>
      <c r="B12" s="12" t="s">
        <v>43</v>
      </c>
      <c r="C12" s="13" t="s">
        <v>44</v>
      </c>
      <c r="D12" s="14">
        <v>2025</v>
      </c>
      <c r="E12" s="14">
        <v>2028</v>
      </c>
      <c r="F12" s="15">
        <v>67973.89</v>
      </c>
      <c r="G12" s="15">
        <v>6883.9</v>
      </c>
      <c r="H12" s="16">
        <v>22155.51</v>
      </c>
      <c r="I12" s="16">
        <v>21467.119999999999</v>
      </c>
      <c r="J12" s="16">
        <v>17467.36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">
        <v>0</v>
      </c>
      <c r="R12" s="18">
        <f t="shared" si="0"/>
        <v>0</v>
      </c>
      <c r="S12" s="16">
        <f t="shared" si="1"/>
        <v>0</v>
      </c>
      <c r="T12" s="18">
        <f t="shared" si="2"/>
        <v>0</v>
      </c>
    </row>
    <row r="13" spans="1:20" ht="33.75" x14ac:dyDescent="0.25">
      <c r="A13" s="11" t="s">
        <v>45</v>
      </c>
      <c r="B13" s="12" t="s">
        <v>46</v>
      </c>
      <c r="C13" s="13" t="s">
        <v>31</v>
      </c>
      <c r="D13" s="14">
        <v>2025</v>
      </c>
      <c r="E13" s="14">
        <v>2028</v>
      </c>
      <c r="F13" s="15">
        <v>71807.87</v>
      </c>
      <c r="G13" s="15">
        <v>0</v>
      </c>
      <c r="H13" s="16">
        <v>35424.25</v>
      </c>
      <c r="I13" s="16">
        <v>32149.439999999999</v>
      </c>
      <c r="J13" s="16">
        <v>4234.18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">
        <v>0</v>
      </c>
      <c r="R13" s="18">
        <f t="shared" si="0"/>
        <v>0</v>
      </c>
      <c r="S13" s="16">
        <f t="shared" si="1"/>
        <v>0</v>
      </c>
      <c r="T13" s="18">
        <f t="shared" si="2"/>
        <v>0</v>
      </c>
    </row>
    <row r="14" spans="1:20" x14ac:dyDescent="0.25">
      <c r="A14" s="4" t="s">
        <v>47</v>
      </c>
      <c r="B14" s="5" t="s">
        <v>25</v>
      </c>
      <c r="C14" s="6"/>
      <c r="D14" s="7"/>
      <c r="E14" s="7"/>
      <c r="F14" s="8">
        <f>SUMIF(A15:A44, "1.1.2.*", F15:F44)</f>
        <v>1257183.97</v>
      </c>
      <c r="G14" s="8">
        <f>SUMIF(A15:A44, "1.1.2.*", G15:G44)</f>
        <v>186335.63</v>
      </c>
      <c r="H14" s="9">
        <f>SUMIF(A15:A44, "1.1.2.*", H15:H44)</f>
        <v>943584.25</v>
      </c>
      <c r="I14" s="9">
        <f>SUMIF(A15:A44, "1.1.2.*", I15:I44)</f>
        <v>127264.09</v>
      </c>
      <c r="J14" s="9">
        <f>SUMIF(A15:A44, "1.1.2.*", J15:J44)</f>
        <v>0</v>
      </c>
      <c r="K14" s="9">
        <f>SUMIF(A15:A44, "1.1.2.*", K15:K44)</f>
        <v>0</v>
      </c>
      <c r="L14" s="9">
        <f>SUMIF(A15:A44, "1.1.2.*", L15:L44)</f>
        <v>0</v>
      </c>
      <c r="M14" s="9">
        <f>SUMIF(A15:A44, "1.1.2.*", M15:M44)</f>
        <v>0</v>
      </c>
      <c r="N14" s="9">
        <f>SUMIF(A15:A44, "1.1.2.*", N15:N44)</f>
        <v>0</v>
      </c>
      <c r="O14" s="9">
        <f>SUMIF(A15:A44, "1.1.2.*", O15:O44)</f>
        <v>0</v>
      </c>
      <c r="P14" s="9">
        <f>SUMIF(A15:A44, "1.1.2.*", P15:P44)</f>
        <v>0</v>
      </c>
      <c r="Q14" s="9">
        <f>SUMIF(A15:A44, "1.1.2.*", Q15:Q44)</f>
        <v>0</v>
      </c>
      <c r="R14" s="10">
        <f t="shared" si="0"/>
        <v>0</v>
      </c>
      <c r="S14" s="9">
        <f t="shared" si="1"/>
        <v>0</v>
      </c>
      <c r="T14" s="10">
        <f t="shared" si="2"/>
        <v>0</v>
      </c>
    </row>
    <row r="15" spans="1:20" ht="22.5" x14ac:dyDescent="0.25">
      <c r="A15" s="11" t="s">
        <v>48</v>
      </c>
      <c r="B15" s="12" t="s">
        <v>96</v>
      </c>
      <c r="C15" s="13" t="s">
        <v>39</v>
      </c>
      <c r="D15" s="14">
        <v>2025</v>
      </c>
      <c r="E15" s="14">
        <v>2026</v>
      </c>
      <c r="F15" s="15">
        <v>875261.04</v>
      </c>
      <c r="G15" s="15">
        <v>179081.04</v>
      </c>
      <c r="H15" s="16">
        <v>696180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">
        <v>0</v>
      </c>
      <c r="R15" s="18">
        <f t="shared" si="0"/>
        <v>0</v>
      </c>
      <c r="S15" s="16">
        <f t="shared" si="1"/>
        <v>0</v>
      </c>
      <c r="T15" s="18">
        <f t="shared" si="2"/>
        <v>0</v>
      </c>
    </row>
    <row r="16" spans="1:20" ht="56.25" x14ac:dyDescent="0.25">
      <c r="A16" s="11" t="s">
        <v>49</v>
      </c>
      <c r="B16" s="12" t="s">
        <v>50</v>
      </c>
      <c r="C16" s="13" t="s">
        <v>37</v>
      </c>
      <c r="D16" s="14">
        <v>2025</v>
      </c>
      <c r="E16" s="14">
        <v>2027</v>
      </c>
      <c r="F16" s="15">
        <v>381922.93</v>
      </c>
      <c r="G16" s="15">
        <v>7254.59</v>
      </c>
      <c r="H16" s="16">
        <v>247404.25</v>
      </c>
      <c r="I16" s="16">
        <v>127264.09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">
        <v>0</v>
      </c>
      <c r="R16" s="18">
        <f t="shared" si="0"/>
        <v>0</v>
      </c>
      <c r="S16" s="16">
        <f t="shared" si="1"/>
        <v>0</v>
      </c>
      <c r="T16" s="18">
        <f t="shared" si="2"/>
        <v>0</v>
      </c>
    </row>
    <row r="17" spans="1:20" ht="21" x14ac:dyDescent="0.25">
      <c r="A17" s="4" t="s">
        <v>51</v>
      </c>
      <c r="B17" s="5" t="s">
        <v>52</v>
      </c>
      <c r="C17" s="6"/>
      <c r="D17" s="7"/>
      <c r="E17" s="7"/>
      <c r="F17" s="8">
        <f>IF(ISNUMBER(VLOOKUP("1.2.1",A2:T44,6,FALSE)),ROUND(VLOOKUP("1.2.1",A2:T44,6,FALSE),4),0) + IF(ISNUMBER(VLOOKUP("1.2.2",A2:T44,6,FALSE)),ROUND(VLOOKUP("1.2.2",A2:T44,6,FALSE),4),0)</f>
        <v>0</v>
      </c>
      <c r="G17" s="8">
        <f>IF(ISNUMBER(VLOOKUP("1.2.1",A2:T44,7,FALSE)),ROUND(VLOOKUP("1.2.1",A2:T44,7,FALSE),4),0) + IF(ISNUMBER(VLOOKUP("1.2.2",A2:T44,7,FALSE)),ROUND(VLOOKUP("1.2.2",A2:T44,7,FALSE),4),0)</f>
        <v>0</v>
      </c>
      <c r="H17" s="9">
        <f>IF(ISNUMBER(VLOOKUP("1.2.1",A2:T44,8,FALSE)),ROUND(VLOOKUP("1.2.1",A2:T44,8,FALSE),4),0) + IF(ISNUMBER(VLOOKUP("1.2.2",A2:T44,8,FALSE)),ROUND(VLOOKUP("1.2.2",A2:T44,8,FALSE),4),0)</f>
        <v>0</v>
      </c>
      <c r="I17" s="9">
        <f>IF(ISNUMBER(VLOOKUP("1.2.1",A2:T44,9,FALSE)),ROUND(VLOOKUP("1.2.1",A2:T44,9,FALSE),4),0) + IF(ISNUMBER(VLOOKUP("1.2.2",A2:T44,9,FALSE)),ROUND(VLOOKUP("1.2.2",A2:T44,9,FALSE),4),0)</f>
        <v>0</v>
      </c>
      <c r="J17" s="9">
        <f>IF(ISNUMBER(VLOOKUP("1.2.1",A2:T44,10,FALSE)),ROUND(VLOOKUP("1.2.1",A2:T44,10,FALSE),4),0) + IF(ISNUMBER(VLOOKUP("1.2.2",A2:T44,10,FALSE)),ROUND(VLOOKUP("1.2.2",A2:T44,10,FALSE),4),0)</f>
        <v>0</v>
      </c>
      <c r="K17" s="9">
        <f>IF(ISNUMBER(VLOOKUP("1.2.1",A2:T44,11,FALSE)),ROUND(VLOOKUP("1.2.1",A2:T44,11,FALSE),4),0) + IF(ISNUMBER(VLOOKUP("1.2.2",A2:T44,11,FALSE)),ROUND(VLOOKUP("1.2.2",A2:T44,11,FALSE),4),0)</f>
        <v>0</v>
      </c>
      <c r="L17" s="9">
        <f>IF(ISNUMBER(VLOOKUP("1.2.1",A2:T44,12,FALSE)),ROUND(VLOOKUP("1.2.1",A2:T44,12,FALSE),4),0) + IF(ISNUMBER(VLOOKUP("1.2.2",A2:T44,12,FALSE)),ROUND(VLOOKUP("1.2.2",A2:T44,12,FALSE),4),0)</f>
        <v>0</v>
      </c>
      <c r="M17" s="9">
        <f>IF(ISNUMBER(VLOOKUP("1.2.1",A2:T44,13,FALSE)),ROUND(VLOOKUP("1.2.1",A2:T44,13,FALSE),4),0) + IF(ISNUMBER(VLOOKUP("1.2.2",A2:T44,13,FALSE)),ROUND(VLOOKUP("1.2.2",A2:T44,13,FALSE),4),0)</f>
        <v>0</v>
      </c>
      <c r="N17" s="9">
        <f>IF(ISNUMBER(VLOOKUP("1.2.1",A2:T44,14,FALSE)),ROUND(VLOOKUP("1.2.1",A2:T44,14,FALSE),4),0) + IF(ISNUMBER(VLOOKUP("1.2.2",A2:T44,14,FALSE)),ROUND(VLOOKUP("1.2.2",A2:T44,14,FALSE),4),0)</f>
        <v>0</v>
      </c>
      <c r="O17" s="9">
        <f>IF(ISNUMBER(VLOOKUP("1.2.1",A2:T44,15,FALSE)),ROUND(VLOOKUP("1.2.1",A2:T44,15,FALSE),4),0) + IF(ISNUMBER(VLOOKUP("1.2.2",A2:T44,15,FALSE)),ROUND(VLOOKUP("1.2.2",A2:T44,15,FALSE),4),0)</f>
        <v>0</v>
      </c>
      <c r="P17" s="9">
        <f>IF(ISNUMBER(VLOOKUP("1.2.1",A2:T44,16,FALSE)),ROUND(VLOOKUP("1.2.1",A2:T44,16,FALSE),4),0) + IF(ISNUMBER(VLOOKUP("1.2.2",A2:T44,16,FALSE)),ROUND(VLOOKUP("1.2.2",A2:T44,16,FALSE),4),0)</f>
        <v>0</v>
      </c>
      <c r="Q17" s="9">
        <f>IF(ISNUMBER(VLOOKUP("1.2.1",A2:T44,17,FALSE)),ROUND(VLOOKUP("1.2.1",A2:T44,17,FALSE),4),0) + IF(ISNUMBER(VLOOKUP("1.2.2",A2:T44,17,FALSE)),ROUND(VLOOKUP("1.2.2",A2:T44,17,FALSE),4),0)</f>
        <v>0</v>
      </c>
      <c r="R17" s="10">
        <f t="shared" si="0"/>
        <v>0</v>
      </c>
      <c r="S17" s="9">
        <f t="shared" si="1"/>
        <v>0</v>
      </c>
      <c r="T17" s="10">
        <f t="shared" si="2"/>
        <v>0</v>
      </c>
    </row>
    <row r="18" spans="1:20" x14ac:dyDescent="0.25">
      <c r="A18" s="4" t="s">
        <v>53</v>
      </c>
      <c r="B18" s="5" t="s">
        <v>23</v>
      </c>
      <c r="C18" s="6"/>
      <c r="D18" s="7"/>
      <c r="E18" s="7"/>
      <c r="F18" s="8">
        <f>SUMIF(A19:A44, "1.2.1.*", F19:F44)</f>
        <v>0</v>
      </c>
      <c r="G18" s="8">
        <f>SUMIF(A19:A44, "1.2.1.*", G19:G44)</f>
        <v>0</v>
      </c>
      <c r="H18" s="9">
        <f>SUMIF(A19:A44, "1.2.1.*", H19:H44)</f>
        <v>0</v>
      </c>
      <c r="I18" s="9">
        <f>SUMIF(A19:A44, "1.2.1.*", I19:I44)</f>
        <v>0</v>
      </c>
      <c r="J18" s="9">
        <f>SUMIF(A19:A44, "1.2.1.*", J19:J44)</f>
        <v>0</v>
      </c>
      <c r="K18" s="9">
        <f>SUMIF(A19:A44, "1.2.1.*", K19:K44)</f>
        <v>0</v>
      </c>
      <c r="L18" s="9">
        <f>SUMIF(A19:A44, "1.2.1.*", L19:L44)</f>
        <v>0</v>
      </c>
      <c r="M18" s="9">
        <f>SUMIF(A19:A44, "1.2.1.*", M19:M44)</f>
        <v>0</v>
      </c>
      <c r="N18" s="9">
        <f>SUMIF(A19:A44, "1.2.1.*", N19:N44)</f>
        <v>0</v>
      </c>
      <c r="O18" s="9">
        <f>SUMIF(A19:A44, "1.2.1.*", O19:O44)</f>
        <v>0</v>
      </c>
      <c r="P18" s="9">
        <f>SUMIF(A19:A44, "1.2.1.*", P19:P44)</f>
        <v>0</v>
      </c>
      <c r="Q18" s="9">
        <f>SUMIF(A19:A44, "1.2.1.*", Q19:Q44)</f>
        <v>0</v>
      </c>
      <c r="R18" s="10">
        <f t="shared" si="0"/>
        <v>0</v>
      </c>
      <c r="S18" s="9">
        <f t="shared" si="1"/>
        <v>0</v>
      </c>
      <c r="T18" s="10">
        <f t="shared" si="2"/>
        <v>0</v>
      </c>
    </row>
    <row r="19" spans="1:20" x14ac:dyDescent="0.25">
      <c r="A19" s="4" t="s">
        <v>54</v>
      </c>
      <c r="B19" s="5" t="s">
        <v>25</v>
      </c>
      <c r="C19" s="6"/>
      <c r="D19" s="7"/>
      <c r="E19" s="7"/>
      <c r="F19" s="8">
        <f>SUMIF(A20:A44, "1.2.2.*", F20:F44)</f>
        <v>0</v>
      </c>
      <c r="G19" s="8">
        <f>SUMIF(A20:A44, "1.2.2.*", G20:G44)</f>
        <v>0</v>
      </c>
      <c r="H19" s="9">
        <f>SUMIF(A20:A44, "1.2.2.*", H20:H44)</f>
        <v>0</v>
      </c>
      <c r="I19" s="9">
        <f>SUMIF(A20:A44, "1.2.2.*", I20:I44)</f>
        <v>0</v>
      </c>
      <c r="J19" s="9">
        <f>SUMIF(A20:A44, "1.2.2.*", J20:J44)</f>
        <v>0</v>
      </c>
      <c r="K19" s="9">
        <f>SUMIF(A20:A44, "1.2.2.*", K20:K44)</f>
        <v>0</v>
      </c>
      <c r="L19" s="9">
        <f>SUMIF(A20:A44, "1.2.2.*", L20:L44)</f>
        <v>0</v>
      </c>
      <c r="M19" s="9">
        <f>SUMIF(A20:A44, "1.2.2.*", M20:M44)</f>
        <v>0</v>
      </c>
      <c r="N19" s="9">
        <f>SUMIF(A20:A44, "1.2.2.*", N20:N44)</f>
        <v>0</v>
      </c>
      <c r="O19" s="9">
        <f>SUMIF(A20:A44, "1.2.2.*", O20:O44)</f>
        <v>0</v>
      </c>
      <c r="P19" s="9">
        <f>SUMIF(A20:A44, "1.2.2.*", P20:P44)</f>
        <v>0</v>
      </c>
      <c r="Q19" s="9">
        <f>SUMIF(A20:A44, "1.2.2.*", Q20:Q44)</f>
        <v>0</v>
      </c>
      <c r="R19" s="10">
        <f t="shared" si="0"/>
        <v>0</v>
      </c>
      <c r="S19" s="9">
        <f t="shared" si="1"/>
        <v>0</v>
      </c>
      <c r="T19" s="10">
        <f t="shared" si="2"/>
        <v>0</v>
      </c>
    </row>
    <row r="20" spans="1:20" ht="21" x14ac:dyDescent="0.25">
      <c r="A20" s="4" t="s">
        <v>55</v>
      </c>
      <c r="B20" s="5" t="s">
        <v>56</v>
      </c>
      <c r="C20" s="6"/>
      <c r="D20" s="7"/>
      <c r="E20" s="7"/>
      <c r="F20" s="8">
        <f>IF(ISNUMBER(VLOOKUP("1.3.1",A2:T44,6,FALSE)),ROUND(VLOOKUP("1.3.1",A2:T44,6,FALSE),4),0) + IF(ISNUMBER(VLOOKUP("1.3.2",A2:T44,6,FALSE)),ROUND(VLOOKUP("1.3.2",A2:T44,6,FALSE),4),0)</f>
        <v>135032796.27000001</v>
      </c>
      <c r="G20" s="8">
        <f>IF(ISNUMBER(VLOOKUP("1.3.1",A2:T44,7,FALSE)),ROUND(VLOOKUP("1.3.1",A2:T44,7,FALSE),4),0) + IF(ISNUMBER(VLOOKUP("1.3.2",A2:T44,7,FALSE)),ROUND(VLOOKUP("1.3.2",A2:T44,7,FALSE),4),0)</f>
        <v>49258088.580000006</v>
      </c>
      <c r="H20" s="9">
        <f>IF(ISNUMBER(VLOOKUP("1.3.1",A2:T44,8,FALSE)),ROUND(VLOOKUP("1.3.1",A2:T44,8,FALSE),4),0) + IF(ISNUMBER(VLOOKUP("1.3.2",A2:T44,8,FALSE)),ROUND(VLOOKUP("1.3.2",A2:T44,8,FALSE),4),0)</f>
        <v>62681779.810000002</v>
      </c>
      <c r="I20" s="9">
        <f>IF(ISNUMBER(VLOOKUP("1.3.1",A2:T44,9,FALSE)),ROUND(VLOOKUP("1.3.1",A2:T44,9,FALSE),4),0) + IF(ISNUMBER(VLOOKUP("1.3.2",A2:T44,9,FALSE)),ROUND(VLOOKUP("1.3.2",A2:T44,9,FALSE),4),0)</f>
        <v>1911156</v>
      </c>
      <c r="J20" s="9">
        <f>IF(ISNUMBER(VLOOKUP("1.3.1",A2:T44,10,FALSE)),ROUND(VLOOKUP("1.3.1",A2:T44,10,FALSE),4),0) + IF(ISNUMBER(VLOOKUP("1.3.2",A2:T44,10,FALSE)),ROUND(VLOOKUP("1.3.2",A2:T44,10,FALSE),4),0)</f>
        <v>1441703</v>
      </c>
      <c r="K20" s="9">
        <f>IF(ISNUMBER(VLOOKUP("1.3.1",A2:T44,11,FALSE)),ROUND(VLOOKUP("1.3.1",A2:T44,11,FALSE),4),0) + IF(ISNUMBER(VLOOKUP("1.3.2",A2:T44,11,FALSE)),ROUND(VLOOKUP("1.3.2",A2:T44,11,FALSE),4),0)</f>
        <v>1378935</v>
      </c>
      <c r="L20" s="9">
        <f>IF(ISNUMBER(VLOOKUP("1.3.1",A2:T44,12,FALSE)),ROUND(VLOOKUP("1.3.1",A2:T44,12,FALSE),4),0) + IF(ISNUMBER(VLOOKUP("1.3.2",A2:T44,12,FALSE)),ROUND(VLOOKUP("1.3.2",A2:T44,12,FALSE),4),0)</f>
        <v>1367928</v>
      </c>
      <c r="M20" s="9">
        <f>IF(ISNUMBER(VLOOKUP("1.3.1",A2:T44,13,FALSE)),ROUND(VLOOKUP("1.3.1",A2:T44,13,FALSE),4),0) + IF(ISNUMBER(VLOOKUP("1.3.2",A2:T44,13,FALSE)),ROUND(VLOOKUP("1.3.2",A2:T44,13,FALSE),4),0)</f>
        <v>1283624</v>
      </c>
      <c r="N20" s="9">
        <f>IF(ISNUMBER(VLOOKUP("1.3.1",A2:T44,14,FALSE)),ROUND(VLOOKUP("1.3.1",A2:T44,14,FALSE),4),0) + IF(ISNUMBER(VLOOKUP("1.3.2",A2:T44,14,FALSE)),ROUND(VLOOKUP("1.3.2",A2:T44,14,FALSE),4),0)</f>
        <v>1267761</v>
      </c>
      <c r="O20" s="9">
        <f>IF(ISNUMBER(VLOOKUP("1.3.1",A2:T44,15,FALSE)),ROUND(VLOOKUP("1.3.1",A2:T44,15,FALSE),4),0) + IF(ISNUMBER(VLOOKUP("1.3.2",A2:T44,15,FALSE)),ROUND(VLOOKUP("1.3.2",A2:T44,15,FALSE),4),0)</f>
        <v>1238128</v>
      </c>
      <c r="P20" s="9">
        <f>IF(ISNUMBER(VLOOKUP("1.3.1",A2:T44,16,FALSE)),ROUND(VLOOKUP("1.3.1",A2:T44,16,FALSE),4),0) + IF(ISNUMBER(VLOOKUP("1.3.2",A2:T44,16,FALSE)),ROUND(VLOOKUP("1.3.2",A2:T44,16,FALSE),4),0)</f>
        <v>1215539</v>
      </c>
      <c r="Q20" s="9">
        <f>IF(ISNUMBER(VLOOKUP("1.3.1",A2:T44,17,FALSE)),ROUND(VLOOKUP("1.3.1",A2:T44,17,FALSE),4),0) + IF(ISNUMBER(VLOOKUP("1.3.2",A2:T44,17,FALSE)),ROUND(VLOOKUP("1.3.2",A2:T44,17,FALSE),4),0)</f>
        <v>0</v>
      </c>
      <c r="R20" s="10">
        <f t="shared" si="0"/>
        <v>0</v>
      </c>
      <c r="S20" s="9">
        <f t="shared" si="1"/>
        <v>11988153.879999995</v>
      </c>
      <c r="T20" s="10">
        <f t="shared" si="2"/>
        <v>8.8779572156896677E-2</v>
      </c>
    </row>
    <row r="21" spans="1:20" x14ac:dyDescent="0.25">
      <c r="A21" s="4" t="s">
        <v>57</v>
      </c>
      <c r="B21" s="5" t="s">
        <v>23</v>
      </c>
      <c r="C21" s="6"/>
      <c r="D21" s="7"/>
      <c r="E21" s="7"/>
      <c r="F21" s="8">
        <f>SUMIF(A22:A44, "1.3.1.*", F22:F44)</f>
        <v>29355351.319999997</v>
      </c>
      <c r="G21" s="8">
        <f>SUMIF(A22:A44, "1.3.1.*", G22:G44)</f>
        <v>4298130.74</v>
      </c>
      <c r="H21" s="9">
        <f>SUMIF(A22:A44, "1.3.1.*", H22:H44)</f>
        <v>4114850</v>
      </c>
      <c r="I21" s="9">
        <f>SUMIF(A22:A44, "1.3.1.*", I22:I44)</f>
        <v>1911156</v>
      </c>
      <c r="J21" s="9">
        <f>SUMIF(A22:A44, "1.3.1.*", J22:J44)</f>
        <v>1441703</v>
      </c>
      <c r="K21" s="9">
        <f>SUMIF(A22:A44, "1.3.1.*", K22:K44)</f>
        <v>1378935</v>
      </c>
      <c r="L21" s="9">
        <f>SUMIF(A22:A44, "1.3.1.*", L22:L44)</f>
        <v>1367928</v>
      </c>
      <c r="M21" s="9">
        <f>SUMIF(A22:A44, "1.3.1.*", M22:M44)</f>
        <v>1283624</v>
      </c>
      <c r="N21" s="9">
        <f>SUMIF(A22:A44, "1.3.1.*", N22:N44)</f>
        <v>1267761</v>
      </c>
      <c r="O21" s="9">
        <f>SUMIF(A22:A44, "1.3.1.*", O22:O44)</f>
        <v>1238128</v>
      </c>
      <c r="P21" s="9">
        <f>SUMIF(A22:A44, "1.3.1.*", P22:P44)</f>
        <v>1215539</v>
      </c>
      <c r="Q21" s="9">
        <f>SUMIF(A22:A44, "1.3.1.*", Q22:Q44)</f>
        <v>0</v>
      </c>
      <c r="R21" s="10">
        <f t="shared" si="0"/>
        <v>0</v>
      </c>
      <c r="S21" s="9">
        <f t="shared" si="1"/>
        <v>9837596.5799999982</v>
      </c>
      <c r="T21" s="10">
        <f t="shared" si="2"/>
        <v>0.33512106439337958</v>
      </c>
    </row>
    <row r="22" spans="1:20" ht="33.75" x14ac:dyDescent="0.25">
      <c r="A22" s="11" t="s">
        <v>58</v>
      </c>
      <c r="B22" s="12" t="s">
        <v>97</v>
      </c>
      <c r="C22" s="13" t="s">
        <v>31</v>
      </c>
      <c r="D22" s="14">
        <v>2024</v>
      </c>
      <c r="E22" s="14">
        <v>2026</v>
      </c>
      <c r="F22" s="15">
        <v>971490</v>
      </c>
      <c r="G22" s="15">
        <v>328497</v>
      </c>
      <c r="H22" s="16">
        <v>328497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">
        <v>0</v>
      </c>
      <c r="R22" s="18">
        <f t="shared" si="0"/>
        <v>0</v>
      </c>
      <c r="S22" s="16">
        <f t="shared" si="1"/>
        <v>314496</v>
      </c>
      <c r="T22" s="18">
        <f t="shared" si="2"/>
        <v>0.32372541148133283</v>
      </c>
    </row>
    <row r="23" spans="1:20" ht="45" x14ac:dyDescent="0.25">
      <c r="A23" s="11" t="s">
        <v>59</v>
      </c>
      <c r="B23" s="12" t="s">
        <v>98</v>
      </c>
      <c r="C23" s="13" t="s">
        <v>31</v>
      </c>
      <c r="D23" s="14">
        <v>2011</v>
      </c>
      <c r="E23" s="14">
        <v>2034</v>
      </c>
      <c r="F23" s="15">
        <v>10194654.58</v>
      </c>
      <c r="G23" s="15">
        <v>440000</v>
      </c>
      <c r="H23" s="16">
        <v>730000</v>
      </c>
      <c r="I23" s="16">
        <v>420000</v>
      </c>
      <c r="J23" s="16">
        <v>420000</v>
      </c>
      <c r="K23" s="16">
        <v>420000</v>
      </c>
      <c r="L23" s="16">
        <v>420000</v>
      </c>
      <c r="M23" s="16">
        <v>420000</v>
      </c>
      <c r="N23" s="16">
        <v>420000</v>
      </c>
      <c r="O23" s="16">
        <v>420000</v>
      </c>
      <c r="P23" s="16">
        <v>420000</v>
      </c>
      <c r="Q23" s="1">
        <v>0</v>
      </c>
      <c r="R23" s="18">
        <f t="shared" si="0"/>
        <v>0</v>
      </c>
      <c r="S23" s="16">
        <f t="shared" si="1"/>
        <v>5664654.5800000001</v>
      </c>
      <c r="T23" s="18">
        <f t="shared" si="2"/>
        <v>0.55564948626243693</v>
      </c>
    </row>
    <row r="24" spans="1:20" ht="56.25" x14ac:dyDescent="0.25">
      <c r="A24" s="11" t="s">
        <v>60</v>
      </c>
      <c r="B24" s="12" t="s">
        <v>99</v>
      </c>
      <c r="C24" s="13" t="s">
        <v>34</v>
      </c>
      <c r="D24" s="14">
        <v>2020</v>
      </c>
      <c r="E24" s="14">
        <v>2034</v>
      </c>
      <c r="F24" s="15">
        <v>12311806</v>
      </c>
      <c r="G24" s="15">
        <v>1282560</v>
      </c>
      <c r="H24" s="16">
        <v>1159766</v>
      </c>
      <c r="I24" s="16">
        <v>1139376</v>
      </c>
      <c r="J24" s="16">
        <v>1021703</v>
      </c>
      <c r="K24" s="16">
        <v>958935</v>
      </c>
      <c r="L24" s="16">
        <v>947928</v>
      </c>
      <c r="M24" s="16">
        <v>863624</v>
      </c>
      <c r="N24" s="16">
        <v>847761</v>
      </c>
      <c r="O24" s="16">
        <v>818128</v>
      </c>
      <c r="P24" s="16">
        <v>795539</v>
      </c>
      <c r="Q24" s="1">
        <v>0</v>
      </c>
      <c r="R24" s="18">
        <f t="shared" si="0"/>
        <v>0</v>
      </c>
      <c r="S24" s="16">
        <f t="shared" si="1"/>
        <v>2476486</v>
      </c>
      <c r="T24" s="18">
        <f t="shared" si="2"/>
        <v>0.20114725654384094</v>
      </c>
    </row>
    <row r="25" spans="1:20" ht="33.75" x14ac:dyDescent="0.25">
      <c r="A25" s="11" t="s">
        <v>61</v>
      </c>
      <c r="B25" s="12" t="s">
        <v>62</v>
      </c>
      <c r="C25" s="13" t="s">
        <v>63</v>
      </c>
      <c r="D25" s="14">
        <v>2025</v>
      </c>
      <c r="E25" s="14">
        <v>2025</v>
      </c>
      <c r="F25" s="15">
        <v>714307.74</v>
      </c>
      <c r="G25" s="15">
        <v>714307.74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">
        <v>0</v>
      </c>
      <c r="R25" s="18">
        <f t="shared" si="0"/>
        <v>0</v>
      </c>
      <c r="S25" s="16">
        <f t="shared" si="1"/>
        <v>0</v>
      </c>
      <c r="T25" s="18">
        <f t="shared" si="2"/>
        <v>0</v>
      </c>
    </row>
    <row r="26" spans="1:20" ht="33.75" x14ac:dyDescent="0.25">
      <c r="A26" s="11" t="s">
        <v>64</v>
      </c>
      <c r="B26" s="12" t="s">
        <v>100</v>
      </c>
      <c r="C26" s="13" t="s">
        <v>31</v>
      </c>
      <c r="D26" s="14">
        <v>2023</v>
      </c>
      <c r="E26" s="14">
        <v>2025</v>
      </c>
      <c r="F26" s="15">
        <v>1552980</v>
      </c>
      <c r="G26" s="15">
        <v>308880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">
        <v>0</v>
      </c>
      <c r="R26" s="18">
        <f t="shared" si="0"/>
        <v>0</v>
      </c>
      <c r="S26" s="16">
        <f t="shared" si="1"/>
        <v>1244100</v>
      </c>
      <c r="T26" s="18">
        <f t="shared" si="2"/>
        <v>0.80110497237569056</v>
      </c>
    </row>
    <row r="27" spans="1:20" ht="33.75" x14ac:dyDescent="0.25">
      <c r="A27" s="11" t="s">
        <v>65</v>
      </c>
      <c r="B27" s="12" t="s">
        <v>101</v>
      </c>
      <c r="C27" s="13" t="s">
        <v>31</v>
      </c>
      <c r="D27" s="14">
        <v>2025</v>
      </c>
      <c r="E27" s="14">
        <v>2027</v>
      </c>
      <c r="F27" s="15">
        <v>2616900</v>
      </c>
      <c r="G27" s="15">
        <v>926640</v>
      </c>
      <c r="H27" s="16">
        <v>1338480</v>
      </c>
      <c r="I27" s="16">
        <v>351780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">
        <v>0</v>
      </c>
      <c r="R27" s="18">
        <f t="shared" si="0"/>
        <v>0</v>
      </c>
      <c r="S27" s="16">
        <f t="shared" si="1"/>
        <v>0</v>
      </c>
      <c r="T27" s="18">
        <f t="shared" si="2"/>
        <v>0</v>
      </c>
    </row>
    <row r="28" spans="1:20" ht="33.75" x14ac:dyDescent="0.25">
      <c r="A28" s="11" t="s">
        <v>66</v>
      </c>
      <c r="B28" s="12" t="s">
        <v>102</v>
      </c>
      <c r="C28" s="13" t="s">
        <v>34</v>
      </c>
      <c r="D28" s="14">
        <v>2024</v>
      </c>
      <c r="E28" s="14">
        <v>2026</v>
      </c>
      <c r="F28" s="15">
        <v>827163</v>
      </c>
      <c r="G28" s="15">
        <v>275721</v>
      </c>
      <c r="H28" s="16">
        <v>413582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">
        <v>0</v>
      </c>
      <c r="R28" s="18">
        <f t="shared" si="0"/>
        <v>0</v>
      </c>
      <c r="S28" s="16">
        <f t="shared" si="1"/>
        <v>137860</v>
      </c>
      <c r="T28" s="18">
        <f t="shared" si="2"/>
        <v>0.1666660621908862</v>
      </c>
    </row>
    <row r="29" spans="1:20" ht="33.75" x14ac:dyDescent="0.25">
      <c r="A29" s="11" t="s">
        <v>67</v>
      </c>
      <c r="B29" s="12" t="s">
        <v>95</v>
      </c>
      <c r="C29" s="13" t="s">
        <v>31</v>
      </c>
      <c r="D29" s="14">
        <v>2025</v>
      </c>
      <c r="E29" s="14">
        <v>2026</v>
      </c>
      <c r="F29" s="15">
        <v>116850</v>
      </c>
      <c r="G29" s="15">
        <v>21525</v>
      </c>
      <c r="H29" s="16">
        <v>95325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">
        <v>0</v>
      </c>
      <c r="R29" s="18">
        <f t="shared" si="0"/>
        <v>0</v>
      </c>
      <c r="S29" s="16">
        <f t="shared" si="1"/>
        <v>0</v>
      </c>
      <c r="T29" s="18">
        <f t="shared" si="2"/>
        <v>0</v>
      </c>
    </row>
    <row r="30" spans="1:20" ht="22.5" x14ac:dyDescent="0.25">
      <c r="A30" s="11" t="s">
        <v>68</v>
      </c>
      <c r="B30" s="12" t="s">
        <v>94</v>
      </c>
      <c r="C30" s="13" t="s">
        <v>31</v>
      </c>
      <c r="D30" s="14">
        <v>2025</v>
      </c>
      <c r="E30" s="14">
        <v>2026</v>
      </c>
      <c r="F30" s="15">
        <v>49200</v>
      </c>
      <c r="G30" s="15">
        <v>0</v>
      </c>
      <c r="H30" s="16">
        <v>49200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">
        <v>0</v>
      </c>
      <c r="R30" s="18">
        <f t="shared" si="0"/>
        <v>0</v>
      </c>
      <c r="S30" s="16">
        <f t="shared" si="1"/>
        <v>0</v>
      </c>
      <c r="T30" s="18">
        <f t="shared" si="2"/>
        <v>0</v>
      </c>
    </row>
    <row r="31" spans="1:20" x14ac:dyDescent="0.25">
      <c r="A31" s="4" t="s">
        <v>69</v>
      </c>
      <c r="B31" s="5" t="s">
        <v>25</v>
      </c>
      <c r="C31" s="6"/>
      <c r="D31" s="7"/>
      <c r="E31" s="7"/>
      <c r="F31" s="8">
        <f>SUMIF(A32:A44, "1.3.2.*", F32:F44)</f>
        <v>105677444.94999999</v>
      </c>
      <c r="G31" s="8">
        <f>SUMIF(A32:A44, "1.3.2.*", G32:G44)</f>
        <v>44959957.840000004</v>
      </c>
      <c r="H31" s="9">
        <f>SUMIF(A32:A44, "1.3.2.*", H32:H44)</f>
        <v>58566929.810000002</v>
      </c>
      <c r="I31" s="9">
        <f>SUMIF(A32:A44, "1.3.2.*", I32:I44)</f>
        <v>0</v>
      </c>
      <c r="J31" s="9">
        <f>SUMIF(A32:A44, "1.3.2.*", J32:J44)</f>
        <v>0</v>
      </c>
      <c r="K31" s="9">
        <f>SUMIF(A32:A44, "1.3.2.*", K32:K44)</f>
        <v>0</v>
      </c>
      <c r="L31" s="9">
        <f>SUMIF(A32:A44, "1.3.2.*", L32:L44)</f>
        <v>0</v>
      </c>
      <c r="M31" s="9">
        <f>SUMIF(A32:A44, "1.3.2.*", M32:M44)</f>
        <v>0</v>
      </c>
      <c r="N31" s="9">
        <f>SUMIF(A32:A44, "1.3.2.*", N32:N44)</f>
        <v>0</v>
      </c>
      <c r="O31" s="9">
        <f>SUMIF(A32:A44, "1.3.2.*", O32:O44)</f>
        <v>0</v>
      </c>
      <c r="P31" s="9">
        <f>SUMIF(A32:A44, "1.3.2.*", P32:P44)</f>
        <v>0</v>
      </c>
      <c r="Q31" s="9">
        <f>SUMIF(A32:A44, "1.3.2.*", Q32:Q44)</f>
        <v>0</v>
      </c>
      <c r="R31" s="10">
        <f t="shared" si="0"/>
        <v>0</v>
      </c>
      <c r="S31" s="9">
        <f t="shared" si="1"/>
        <v>2150557.2999999821</v>
      </c>
      <c r="T31" s="10">
        <f t="shared" si="2"/>
        <v>2.0350201511945075E-2</v>
      </c>
    </row>
    <row r="32" spans="1:20" ht="45" x14ac:dyDescent="0.25">
      <c r="A32" s="11" t="s">
        <v>70</v>
      </c>
      <c r="B32" s="12" t="s">
        <v>71</v>
      </c>
      <c r="C32" s="13" t="s">
        <v>31</v>
      </c>
      <c r="D32" s="14">
        <v>2023</v>
      </c>
      <c r="E32" s="14">
        <v>2026</v>
      </c>
      <c r="F32" s="15">
        <v>40787443.380000003</v>
      </c>
      <c r="G32" s="15">
        <v>23200000</v>
      </c>
      <c r="H32" s="16">
        <v>15440786.08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">
        <v>0</v>
      </c>
      <c r="R32" s="18">
        <f t="shared" si="0"/>
        <v>0</v>
      </c>
      <c r="S32" s="16">
        <f t="shared" si="1"/>
        <v>2146657.3000000026</v>
      </c>
      <c r="T32" s="18">
        <f t="shared" si="2"/>
        <v>5.26303470408888E-2</v>
      </c>
    </row>
    <row r="33" spans="1:20" ht="33.75" x14ac:dyDescent="0.25">
      <c r="A33" s="11" t="s">
        <v>72</v>
      </c>
      <c r="B33" s="12" t="s">
        <v>73</v>
      </c>
      <c r="C33" s="13" t="s">
        <v>63</v>
      </c>
      <c r="D33" s="14">
        <v>2025</v>
      </c>
      <c r="E33" s="14">
        <v>2026</v>
      </c>
      <c r="F33" s="15">
        <v>3904313.01</v>
      </c>
      <c r="G33" s="15">
        <v>2207565.35</v>
      </c>
      <c r="H33" s="16">
        <v>1696747.66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">
        <v>0</v>
      </c>
      <c r="R33" s="18">
        <f t="shared" si="0"/>
        <v>0</v>
      </c>
      <c r="S33" s="16">
        <f t="shared" si="1"/>
        <v>0</v>
      </c>
      <c r="T33" s="18">
        <f t="shared" si="2"/>
        <v>0</v>
      </c>
    </row>
    <row r="34" spans="1:20" ht="33.75" x14ac:dyDescent="0.25">
      <c r="A34" s="11" t="s">
        <v>74</v>
      </c>
      <c r="B34" s="12" t="s">
        <v>93</v>
      </c>
      <c r="C34" s="13" t="s">
        <v>63</v>
      </c>
      <c r="D34" s="14">
        <v>2024</v>
      </c>
      <c r="E34" s="14">
        <v>2026</v>
      </c>
      <c r="F34" s="15">
        <v>15532170.970000001</v>
      </c>
      <c r="G34" s="15">
        <v>4716435.49</v>
      </c>
      <c r="H34" s="16">
        <v>10815735.48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">
        <v>0</v>
      </c>
      <c r="R34" s="18">
        <f t="shared" si="0"/>
        <v>0</v>
      </c>
      <c r="S34" s="16">
        <f t="shared" si="1"/>
        <v>0</v>
      </c>
      <c r="T34" s="18">
        <f t="shared" si="2"/>
        <v>0</v>
      </c>
    </row>
    <row r="35" spans="1:20" ht="33.75" x14ac:dyDescent="0.25">
      <c r="A35" s="11" t="s">
        <v>75</v>
      </c>
      <c r="B35" s="12" t="s">
        <v>76</v>
      </c>
      <c r="C35" s="13" t="s">
        <v>63</v>
      </c>
      <c r="D35" s="14">
        <v>2025</v>
      </c>
      <c r="E35" s="14">
        <v>2026</v>
      </c>
      <c r="F35" s="15">
        <v>4619338.1900000004</v>
      </c>
      <c r="G35" s="15">
        <v>2004014.09</v>
      </c>
      <c r="H35" s="16">
        <v>2615324.1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">
        <v>0</v>
      </c>
      <c r="R35" s="18">
        <f t="shared" si="0"/>
        <v>0</v>
      </c>
      <c r="S35" s="16">
        <f t="shared" si="1"/>
        <v>0</v>
      </c>
      <c r="T35" s="18">
        <f t="shared" si="2"/>
        <v>0</v>
      </c>
    </row>
    <row r="36" spans="1:20" ht="33.75" x14ac:dyDescent="0.25">
      <c r="A36" s="11" t="s">
        <v>77</v>
      </c>
      <c r="B36" s="12" t="s">
        <v>78</v>
      </c>
      <c r="C36" s="13" t="s">
        <v>63</v>
      </c>
      <c r="D36" s="14">
        <v>2024</v>
      </c>
      <c r="E36" s="14">
        <v>2026</v>
      </c>
      <c r="F36" s="15">
        <v>6631236.8899999997</v>
      </c>
      <c r="G36" s="15">
        <v>1948968.44</v>
      </c>
      <c r="H36" s="16">
        <v>4682268.45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">
        <v>0</v>
      </c>
      <c r="R36" s="18">
        <f t="shared" si="0"/>
        <v>0</v>
      </c>
      <c r="S36" s="16">
        <f t="shared" si="1"/>
        <v>0</v>
      </c>
      <c r="T36" s="18">
        <f t="shared" si="2"/>
        <v>0</v>
      </c>
    </row>
    <row r="37" spans="1:20" ht="33.75" x14ac:dyDescent="0.25">
      <c r="A37" s="11" t="s">
        <v>79</v>
      </c>
      <c r="B37" s="12" t="s">
        <v>80</v>
      </c>
      <c r="C37" s="13" t="s">
        <v>63</v>
      </c>
      <c r="D37" s="14">
        <v>2024</v>
      </c>
      <c r="E37" s="14">
        <v>2026</v>
      </c>
      <c r="F37" s="15">
        <v>11040024.74</v>
      </c>
      <c r="G37" s="15">
        <v>4876877.6100000003</v>
      </c>
      <c r="H37" s="16">
        <v>6163147.1299999999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">
        <v>0</v>
      </c>
      <c r="R37" s="18">
        <f t="shared" si="0"/>
        <v>0</v>
      </c>
      <c r="S37" s="16">
        <f t="shared" si="1"/>
        <v>0</v>
      </c>
      <c r="T37" s="18">
        <f t="shared" si="2"/>
        <v>0</v>
      </c>
    </row>
    <row r="38" spans="1:20" ht="33.75" x14ac:dyDescent="0.25">
      <c r="A38" s="11" t="s">
        <v>81</v>
      </c>
      <c r="B38" s="12" t="s">
        <v>82</v>
      </c>
      <c r="C38" s="13" t="s">
        <v>63</v>
      </c>
      <c r="D38" s="14">
        <v>2025</v>
      </c>
      <c r="E38" s="14">
        <v>2026</v>
      </c>
      <c r="F38" s="15">
        <v>7448682.1699999999</v>
      </c>
      <c r="G38" s="15">
        <v>3667182.98</v>
      </c>
      <c r="H38" s="16">
        <v>3781499.19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">
        <v>0</v>
      </c>
      <c r="R38" s="18">
        <f t="shared" si="0"/>
        <v>0</v>
      </c>
      <c r="S38" s="16">
        <f t="shared" si="1"/>
        <v>0</v>
      </c>
      <c r="T38" s="18">
        <f t="shared" si="2"/>
        <v>0</v>
      </c>
    </row>
    <row r="39" spans="1:20" ht="26.25" customHeight="1" x14ac:dyDescent="0.25">
      <c r="A39" s="11" t="s">
        <v>83</v>
      </c>
      <c r="B39" s="12" t="s">
        <v>92</v>
      </c>
      <c r="C39" s="13" t="s">
        <v>63</v>
      </c>
      <c r="D39" s="14">
        <v>2025</v>
      </c>
      <c r="E39" s="14">
        <v>2026</v>
      </c>
      <c r="F39" s="15">
        <v>1500193.75</v>
      </c>
      <c r="G39" s="15">
        <v>750096.88</v>
      </c>
      <c r="H39" s="16">
        <v>750096.87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">
        <v>0</v>
      </c>
      <c r="R39" s="18">
        <f t="shared" si="0"/>
        <v>0</v>
      </c>
      <c r="S39" s="16">
        <f t="shared" si="1"/>
        <v>0</v>
      </c>
      <c r="T39" s="18">
        <f t="shared" si="2"/>
        <v>0</v>
      </c>
    </row>
    <row r="40" spans="1:20" ht="22.5" x14ac:dyDescent="0.25">
      <c r="A40" s="11" t="s">
        <v>84</v>
      </c>
      <c r="B40" s="12" t="s">
        <v>103</v>
      </c>
      <c r="C40" s="13" t="s">
        <v>31</v>
      </c>
      <c r="D40" s="14">
        <v>2025</v>
      </c>
      <c r="E40" s="14">
        <v>2026</v>
      </c>
      <c r="F40" s="15">
        <v>1189164.8500000001</v>
      </c>
      <c r="G40" s="15">
        <v>71340</v>
      </c>
      <c r="H40" s="16">
        <v>1117824.8500000001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">
        <v>0</v>
      </c>
      <c r="R40" s="18">
        <f t="shared" si="0"/>
        <v>0</v>
      </c>
      <c r="S40" s="16">
        <f t="shared" si="1"/>
        <v>0</v>
      </c>
      <c r="T40" s="18">
        <f t="shared" si="2"/>
        <v>0</v>
      </c>
    </row>
    <row r="41" spans="1:20" ht="45" x14ac:dyDescent="0.25">
      <c r="A41" s="11" t="s">
        <v>85</v>
      </c>
      <c r="B41" s="12" t="s">
        <v>86</v>
      </c>
      <c r="C41" s="13" t="s">
        <v>31</v>
      </c>
      <c r="D41" s="14">
        <v>2025</v>
      </c>
      <c r="E41" s="14">
        <v>2026</v>
      </c>
      <c r="F41" s="15">
        <v>400000</v>
      </c>
      <c r="G41" s="15">
        <v>200000</v>
      </c>
      <c r="H41" s="16">
        <v>200000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">
        <v>0</v>
      </c>
      <c r="R41" s="18">
        <f t="shared" si="0"/>
        <v>0</v>
      </c>
      <c r="S41" s="16">
        <f t="shared" si="1"/>
        <v>0</v>
      </c>
      <c r="T41" s="18">
        <f t="shared" si="2"/>
        <v>0</v>
      </c>
    </row>
    <row r="42" spans="1:20" ht="33.75" x14ac:dyDescent="0.25">
      <c r="A42" s="11" t="s">
        <v>87</v>
      </c>
      <c r="B42" s="12" t="s">
        <v>88</v>
      </c>
      <c r="C42" s="13" t="s">
        <v>63</v>
      </c>
      <c r="D42" s="14">
        <v>2025</v>
      </c>
      <c r="E42" s="14">
        <v>2026</v>
      </c>
      <c r="F42" s="15">
        <v>10000000</v>
      </c>
      <c r="G42" s="15">
        <v>0</v>
      </c>
      <c r="H42" s="16">
        <v>10000000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">
        <v>0</v>
      </c>
      <c r="R42" s="18">
        <f t="shared" si="0"/>
        <v>0</v>
      </c>
      <c r="S42" s="16">
        <f t="shared" si="1"/>
        <v>0</v>
      </c>
      <c r="T42" s="18">
        <f t="shared" si="2"/>
        <v>0</v>
      </c>
    </row>
    <row r="43" spans="1:20" ht="112.5" x14ac:dyDescent="0.25">
      <c r="A43" s="11" t="s">
        <v>89</v>
      </c>
      <c r="B43" s="12" t="s">
        <v>90</v>
      </c>
      <c r="C43" s="13" t="s">
        <v>91</v>
      </c>
      <c r="D43" s="14">
        <v>2024</v>
      </c>
      <c r="E43" s="14">
        <v>2026</v>
      </c>
      <c r="F43" s="15">
        <v>2624877</v>
      </c>
      <c r="G43" s="15">
        <v>1317477</v>
      </c>
      <c r="H43" s="16">
        <v>1303500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">
        <v>0</v>
      </c>
      <c r="R43" s="18">
        <f t="shared" si="0"/>
        <v>0</v>
      </c>
      <c r="S43" s="16">
        <f t="shared" si="1"/>
        <v>3900</v>
      </c>
      <c r="T43" s="18">
        <f t="shared" si="2"/>
        <v>1.4857839053029913E-3</v>
      </c>
    </row>
  </sheetData>
  <sheetProtection algorithmName="SHA-512" hashValue="soMIuuCueGv16R+ze45g/nmDuXFT9b4kn2k/siQFB6pABRZTnqj0PX/tjsWl7hO+TVeVSYAv/RdJ+AC4tZwLGw==" saltValue="QKm5HMrZDHg5cDm0ul591w==" spinCount="100000" sheet="1" objects="1" scenarios="1"/>
  <conditionalFormatting sqref="B6:T6">
    <cfRule type="beginsWith" dxfId="11" priority="1" operator="beginsWith" text="Tak">
      <formula>LEFT(B6,LEN("Tak"))="Tak"</formula>
    </cfRule>
    <cfRule type="beginsWith" dxfId="10" priority="2" operator="beginsWith" text="Nie">
      <formula>LEFT(B6,LEN("Nie"))="Nie"</formula>
    </cfRule>
  </conditionalFormatting>
  <conditionalFormatting sqref="B14:T14">
    <cfRule type="beginsWith" dxfId="9" priority="3" operator="beginsWith" text="Tak">
      <formula>LEFT(B14,LEN("Tak"))="Tak"</formula>
    </cfRule>
    <cfRule type="beginsWith" dxfId="8" priority="4" operator="beginsWith" text="Nie">
      <formula>LEFT(B14,LEN("Nie"))="Nie"</formula>
    </cfRule>
  </conditionalFormatting>
  <conditionalFormatting sqref="B18:T18">
    <cfRule type="beginsWith" dxfId="7" priority="5" operator="beginsWith" text="Tak">
      <formula>LEFT(B18,LEN("Tak"))="Tak"</formula>
    </cfRule>
    <cfRule type="beginsWith" dxfId="6" priority="6" operator="beginsWith" text="Nie">
      <formula>LEFT(B18,LEN("Nie"))="Nie"</formula>
    </cfRule>
  </conditionalFormatting>
  <conditionalFormatting sqref="B19:T19">
    <cfRule type="beginsWith" dxfId="5" priority="7" operator="beginsWith" text="Tak">
      <formula>LEFT(B19,LEN("Tak"))="Tak"</formula>
    </cfRule>
    <cfRule type="beginsWith" dxfId="4" priority="8" operator="beginsWith" text="Nie">
      <formula>LEFT(B19,LEN("Nie"))="Nie"</formula>
    </cfRule>
  </conditionalFormatting>
  <conditionalFormatting sqref="B21:T21">
    <cfRule type="beginsWith" dxfId="3" priority="9" operator="beginsWith" text="Tak">
      <formula>LEFT(B21,LEN("Tak"))="Tak"</formula>
    </cfRule>
    <cfRule type="beginsWith" dxfId="2" priority="10" operator="beginsWith" text="Nie">
      <formula>LEFT(B21,LEN("Nie"))="Nie"</formula>
    </cfRule>
  </conditionalFormatting>
  <conditionalFormatting sqref="B31:T31">
    <cfRule type="beginsWith" dxfId="1" priority="11" operator="beginsWith" text="Tak">
      <formula>LEFT(B31,LEN("Tak"))="Tak"</formula>
    </cfRule>
    <cfRule type="beginsWith" dxfId="0" priority="12" operator="beginsWith" text="Nie">
      <formula>LEFT(B31,LEN("Nie"))="Nie"</formula>
    </cfRule>
  </conditionalFormatting>
  <pageMargins left="0.7" right="0.7" top="0.75" bottom="0.75" header="0.3" footer="0.3"/>
  <pageSetup paperSize="9" scale="70" fitToHeight="0" orientation="landscape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Szczuka</dc:creator>
  <cp:lastModifiedBy>Marta Szczuka</cp:lastModifiedBy>
  <cp:lastPrinted>2026-02-17T13:24:27Z</cp:lastPrinted>
  <dcterms:created xsi:type="dcterms:W3CDTF">2026-02-17T12:38:14Z</dcterms:created>
  <dcterms:modified xsi:type="dcterms:W3CDTF">2026-02-17T13:31:01Z</dcterms:modified>
</cp:coreProperties>
</file>