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iemiec\Desktop\Interpelacje przesłane do Marcina\"/>
    </mc:Choice>
  </mc:AlternateContent>
  <xr:revisionPtr revIDLastSave="0" documentId="8_{000287EE-7B6A-44A2-9C65-10253DE19B28}" xr6:coauthVersionLast="47" xr6:coauthVersionMax="47" xr10:uidLastSave="{00000000-0000-0000-0000-000000000000}"/>
  <bookViews>
    <workbookView xWindow="28680" yWindow="-120" windowWidth="29040" windowHeight="15720" tabRatio="856" firstSheet="4" activeTab="13" xr2:uid="{00000000-000D-0000-FFFF-FFFF00000000}"/>
  </bookViews>
  <sheets>
    <sheet name="Gmina Choroszcz +" sheetId="1" r:id="rId1"/>
    <sheet name="Gmina Czarna Białostocka" sheetId="2" r:id="rId2"/>
    <sheet name="Gmina Dobrzyniewo Duże+" sheetId="3" r:id="rId3"/>
    <sheet name="Gmina Grabówka+" sheetId="16" r:id="rId4"/>
    <sheet name="Gmina Gródek" sheetId="4" r:id="rId5"/>
    <sheet name="Gmina Juchnowiec Kościelny+" sheetId="5" r:id="rId6"/>
    <sheet name="Gmina Łapy+" sheetId="6" r:id="rId7"/>
    <sheet name="Gmina Michałowo+" sheetId="7" r:id="rId8"/>
    <sheet name="Gmina Poświętne+" sheetId="8" r:id="rId9"/>
    <sheet name="Gmina Supraśl+" sheetId="9" r:id="rId10"/>
    <sheet name="Gmina Suraż+" sheetId="10" r:id="rId11"/>
    <sheet name="Gmina Turośń Kościelna" sheetId="11" r:id="rId12"/>
    <sheet name="Gmina Tykocin+" sheetId="12" r:id="rId13"/>
    <sheet name="Gmina Wasilków+" sheetId="13" r:id="rId14"/>
    <sheet name="Gmina Zabłudów+" sheetId="14" r:id="rId15"/>
    <sheet name="Gmina Zawady+" sheetId="15" r:id="rId16"/>
    <sheet name="inwestycje w TRAKCIE" sheetId="17" r:id="rId17"/>
    <sheet name="Arkusz1" sheetId="18" r:id="rId18"/>
  </sheets>
  <definedNames>
    <definedName name="_xlnm.Print_Area" localSheetId="0">'Gmina Choroszcz +'!$A$1:$L$57</definedName>
    <definedName name="_xlnm.Print_Area" localSheetId="1">'Gmina Czarna Białostocka'!$A$1:$L$40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14" l="1"/>
  <c r="E35" i="14"/>
  <c r="D24" i="14" l="1"/>
  <c r="I33" i="5"/>
  <c r="E33" i="5"/>
  <c r="G33" i="5"/>
  <c r="J28" i="15"/>
  <c r="E21" i="15"/>
  <c r="E21" i="14"/>
  <c r="D33" i="5" l="1"/>
  <c r="K33" i="5" s="1"/>
  <c r="I24" i="10"/>
  <c r="K18" i="6"/>
  <c r="E15" i="10"/>
  <c r="F20" i="10"/>
  <c r="K5" i="17"/>
  <c r="H5" i="17"/>
  <c r="F5" i="17"/>
  <c r="E28" i="9"/>
  <c r="E33" i="9"/>
  <c r="D30" i="6"/>
  <c r="E30" i="6"/>
  <c r="G30" i="6"/>
  <c r="I30" i="6"/>
  <c r="H33" i="5" l="1"/>
  <c r="F33" i="5"/>
  <c r="E40" i="5"/>
  <c r="J22" i="4"/>
  <c r="K22" i="4" s="1"/>
  <c r="H22" i="4"/>
  <c r="F22" i="4"/>
  <c r="D18" i="6"/>
  <c r="F18" i="6" s="1"/>
  <c r="F13" i="13"/>
  <c r="H13" i="13"/>
  <c r="K13" i="13"/>
  <c r="G25" i="6"/>
  <c r="E25" i="6"/>
  <c r="E8" i="4"/>
  <c r="E15" i="13"/>
  <c r="H18" i="6" l="1"/>
  <c r="E10" i="1"/>
  <c r="J29" i="8" l="1"/>
  <c r="D22" i="15"/>
  <c r="D13" i="15"/>
  <c r="D21" i="11"/>
  <c r="K36" i="5"/>
  <c r="K17" i="4"/>
  <c r="K8" i="4"/>
  <c r="H8" i="4"/>
  <c r="D27" i="12"/>
  <c r="D11" i="4"/>
  <c r="F11" i="4" s="1"/>
  <c r="E15" i="4"/>
  <c r="E36" i="11"/>
  <c r="H36" i="5" l="1"/>
  <c r="F36" i="5"/>
  <c r="F17" i="4"/>
  <c r="H17" i="4"/>
  <c r="F8" i="4"/>
  <c r="K11" i="4"/>
  <c r="H11" i="4"/>
  <c r="J24" i="10"/>
  <c r="J45" i="9"/>
  <c r="D44" i="9"/>
  <c r="F44" i="9" s="1"/>
  <c r="E25" i="8"/>
  <c r="H44" i="9" l="1"/>
  <c r="I29" i="8"/>
  <c r="J24" i="7" l="1"/>
  <c r="I24" i="7"/>
  <c r="J32" i="6"/>
  <c r="E62" i="5" l="1"/>
  <c r="J34" i="4"/>
  <c r="J40" i="2" l="1"/>
  <c r="I40" i="2"/>
  <c r="J55" i="1"/>
  <c r="E51" i="1"/>
  <c r="E50" i="1"/>
  <c r="I51" i="1" l="1"/>
  <c r="J39" i="11" l="1"/>
  <c r="I39" i="11"/>
  <c r="I36" i="12"/>
  <c r="J35" i="14"/>
  <c r="I35" i="14"/>
  <c r="I28" i="15"/>
  <c r="E36" i="13"/>
  <c r="D36" i="13" s="1"/>
  <c r="G36" i="13"/>
  <c r="M38" i="11"/>
  <c r="E20" i="10"/>
  <c r="E24" i="10" s="1"/>
  <c r="G20" i="10"/>
  <c r="G43" i="9"/>
  <c r="E43" i="9"/>
  <c r="G26" i="8"/>
  <c r="E20" i="7"/>
  <c r="E24" i="7" s="1"/>
  <c r="G20" i="7"/>
  <c r="G54" i="5"/>
  <c r="D33" i="4"/>
  <c r="F33" i="4" s="1"/>
  <c r="G48" i="3"/>
  <c r="I47" i="3"/>
  <c r="G36" i="2"/>
  <c r="G68" i="5"/>
  <c r="D32" i="14"/>
  <c r="F32" i="14" s="1"/>
  <c r="D31" i="14"/>
  <c r="F31" i="14" s="1"/>
  <c r="D30" i="14"/>
  <c r="F30" i="14" s="1"/>
  <c r="E29" i="14"/>
  <c r="G29" i="14"/>
  <c r="E37" i="13"/>
  <c r="G37" i="13"/>
  <c r="E34" i="13"/>
  <c r="I34" i="13"/>
  <c r="G34" i="13"/>
  <c r="J32" i="12"/>
  <c r="J36" i="12" s="1"/>
  <c r="E32" i="12"/>
  <c r="G32" i="12"/>
  <c r="E34" i="11"/>
  <c r="E37" i="11"/>
  <c r="G37" i="11"/>
  <c r="D22" i="10"/>
  <c r="F22" i="10" s="1"/>
  <c r="E42" i="9"/>
  <c r="D20" i="10" l="1"/>
  <c r="K32" i="14"/>
  <c r="K31" i="14"/>
  <c r="K30" i="14"/>
  <c r="K33" i="4"/>
  <c r="H33" i="4"/>
  <c r="H32" i="14"/>
  <c r="H31" i="14"/>
  <c r="H30" i="14"/>
  <c r="K22" i="10"/>
  <c r="H22" i="10"/>
  <c r="E21" i="8"/>
  <c r="G21" i="8"/>
  <c r="E26" i="6"/>
  <c r="G26" i="6"/>
  <c r="D61" i="5"/>
  <c r="F61" i="5" s="1"/>
  <c r="D60" i="5"/>
  <c r="F60" i="5" s="1"/>
  <c r="E30" i="4"/>
  <c r="G30" i="4"/>
  <c r="D31" i="4"/>
  <c r="F31" i="4" s="1"/>
  <c r="E40" i="3"/>
  <c r="G40" i="3"/>
  <c r="I44" i="3"/>
  <c r="E44" i="3"/>
  <c r="G44" i="3"/>
  <c r="E35" i="2"/>
  <c r="G35" i="2"/>
  <c r="G40" i="2" s="1"/>
  <c r="D38" i="2"/>
  <c r="F38" i="2" s="1"/>
  <c r="G47" i="1"/>
  <c r="G24" i="15"/>
  <c r="G28" i="15" s="1"/>
  <c r="E38" i="13"/>
  <c r="G38" i="13"/>
  <c r="G31" i="12"/>
  <c r="D32" i="12"/>
  <c r="F32" i="12" s="1"/>
  <c r="G30" i="12"/>
  <c r="G31" i="11"/>
  <c r="G18" i="10"/>
  <c r="E41" i="9"/>
  <c r="G41" i="9"/>
  <c r="G17" i="8"/>
  <c r="G29" i="8" s="1"/>
  <c r="E17" i="8"/>
  <c r="E29" i="8" s="1"/>
  <c r="E45" i="5"/>
  <c r="G45" i="5"/>
  <c r="E25" i="4"/>
  <c r="G25" i="4"/>
  <c r="E38" i="3"/>
  <c r="G38" i="3"/>
  <c r="G48" i="1"/>
  <c r="E29" i="12"/>
  <c r="E36" i="12" s="1"/>
  <c r="G29" i="12"/>
  <c r="G30" i="11"/>
  <c r="G17" i="10"/>
  <c r="D39" i="9"/>
  <c r="G16" i="7"/>
  <c r="G24" i="7" s="1"/>
  <c r="G24" i="6"/>
  <c r="D46" i="5"/>
  <c r="G40" i="1"/>
  <c r="G22" i="14"/>
  <c r="G26" i="13"/>
  <c r="G28" i="13"/>
  <c r="G25" i="13"/>
  <c r="D32" i="9"/>
  <c r="F32" i="9" s="1"/>
  <c r="D31" i="9"/>
  <c r="F31" i="9" s="1"/>
  <c r="D15" i="8"/>
  <c r="F15" i="8" s="1"/>
  <c r="G19" i="6"/>
  <c r="E32" i="5"/>
  <c r="G32" i="5"/>
  <c r="J63" i="5"/>
  <c r="I40" i="5"/>
  <c r="I63" i="5" s="1"/>
  <c r="D21" i="14"/>
  <c r="G20" i="14"/>
  <c r="D26" i="12"/>
  <c r="D25" i="12"/>
  <c r="G30" i="5"/>
  <c r="D25" i="3"/>
  <c r="K25" i="3" s="1"/>
  <c r="D20" i="12"/>
  <c r="D14" i="9"/>
  <c r="D22" i="1"/>
  <c r="D10" i="10"/>
  <c r="D9" i="10"/>
  <c r="D9" i="7"/>
  <c r="D14" i="5"/>
  <c r="E12" i="5"/>
  <c r="D16" i="4"/>
  <c r="F16" i="4" s="1"/>
  <c r="D13" i="4"/>
  <c r="D16" i="2"/>
  <c r="D17" i="1"/>
  <c r="D16" i="1"/>
  <c r="D11" i="14"/>
  <c r="D8" i="14"/>
  <c r="D9" i="11"/>
  <c r="D10" i="9"/>
  <c r="D9" i="5"/>
  <c r="E34" i="4" l="1"/>
  <c r="G34" i="4"/>
  <c r="G24" i="10"/>
  <c r="G32" i="6"/>
  <c r="G39" i="11"/>
  <c r="G45" i="9"/>
  <c r="G36" i="12"/>
  <c r="K61" i="5"/>
  <c r="H61" i="5"/>
  <c r="K60" i="5"/>
  <c r="H60" i="5"/>
  <c r="K31" i="4"/>
  <c r="H31" i="4"/>
  <c r="K38" i="2"/>
  <c r="H38" i="2"/>
  <c r="K32" i="12"/>
  <c r="H32" i="12"/>
  <c r="K15" i="8"/>
  <c r="F25" i="3"/>
  <c r="K32" i="9"/>
  <c r="H32" i="9"/>
  <c r="K31" i="9"/>
  <c r="H31" i="9"/>
  <c r="H15" i="8"/>
  <c r="H25" i="3"/>
  <c r="K16" i="4"/>
  <c r="H16" i="4"/>
  <c r="E22" i="6"/>
  <c r="E21" i="6"/>
  <c r="I21" i="6"/>
  <c r="I32" i="6" s="1"/>
  <c r="E41" i="1"/>
  <c r="E27" i="2"/>
  <c r="D27" i="2" s="1"/>
  <c r="E31" i="3"/>
  <c r="E35" i="5"/>
  <c r="E34" i="5"/>
  <c r="I23" i="4"/>
  <c r="I34" i="4" s="1"/>
  <c r="E35" i="3"/>
  <c r="E34" i="3"/>
  <c r="E33" i="3"/>
  <c r="I42" i="1"/>
  <c r="I55" i="1" s="1"/>
  <c r="G42" i="1"/>
  <c r="G55" i="1" s="1"/>
  <c r="E27" i="13" l="1"/>
  <c r="D9" i="15"/>
  <c r="D10" i="15"/>
  <c r="D11" i="15"/>
  <c r="D12" i="15"/>
  <c r="D14" i="15"/>
  <c r="D22" i="14"/>
  <c r="D23" i="14"/>
  <c r="D25" i="14"/>
  <c r="D26" i="14"/>
  <c r="D27" i="14"/>
  <c r="D28" i="14"/>
  <c r="D29" i="14"/>
  <c r="K29" i="14" s="1"/>
  <c r="D33" i="14"/>
  <c r="D34" i="14"/>
  <c r="D20" i="14"/>
  <c r="D19" i="14"/>
  <c r="D18" i="14"/>
  <c r="D17" i="14"/>
  <c r="D16" i="14"/>
  <c r="D14" i="14"/>
  <c r="D13" i="14"/>
  <c r="D12" i="14"/>
  <c r="D10" i="14"/>
  <c r="D9" i="14"/>
  <c r="E24" i="13"/>
  <c r="G24" i="13"/>
  <c r="E20" i="6"/>
  <c r="E29" i="3"/>
  <c r="E25" i="2"/>
  <c r="E22" i="11"/>
  <c r="E20" i="2"/>
  <c r="D20" i="2" s="1"/>
  <c r="E22" i="5"/>
  <c r="E15" i="14"/>
  <c r="E17" i="3"/>
  <c r="G11" i="5"/>
  <c r="H9" i="7"/>
  <c r="F9" i="7"/>
  <c r="E10" i="6"/>
  <c r="E19" i="5"/>
  <c r="E18" i="5"/>
  <c r="E15" i="5"/>
  <c r="E15" i="2"/>
  <c r="E10" i="11"/>
  <c r="E31" i="1"/>
  <c r="E19" i="1"/>
  <c r="E18" i="1"/>
  <c r="E55" i="1" s="1"/>
  <c r="D26" i="15"/>
  <c r="D27" i="15"/>
  <c r="D41" i="13"/>
  <c r="F41" i="13" s="1"/>
  <c r="D33" i="12"/>
  <c r="D34" i="12"/>
  <c r="F34" i="12" s="1"/>
  <c r="D35" i="12"/>
  <c r="H35" i="12" s="1"/>
  <c r="D38" i="11"/>
  <c r="K44" i="9"/>
  <c r="D27" i="8"/>
  <c r="F27" i="8" s="1"/>
  <c r="D28" i="8"/>
  <c r="F28" i="8" s="1"/>
  <c r="D23" i="7"/>
  <c r="D8" i="16"/>
  <c r="K8" i="16" s="1"/>
  <c r="D39" i="2"/>
  <c r="F39" i="2" s="1"/>
  <c r="E39" i="11" l="1"/>
  <c r="E40" i="2"/>
  <c r="E32" i="6"/>
  <c r="E63" i="5"/>
  <c r="F26" i="15"/>
  <c r="H26" i="15"/>
  <c r="F27" i="15"/>
  <c r="H27" i="15"/>
  <c r="G63" i="5"/>
  <c r="F38" i="11"/>
  <c r="K38" i="11"/>
  <c r="F23" i="7"/>
  <c r="D15" i="14"/>
  <c r="F34" i="14"/>
  <c r="K34" i="14"/>
  <c r="F33" i="14"/>
  <c r="K33" i="14"/>
  <c r="F8" i="16"/>
  <c r="H8" i="16"/>
  <c r="K35" i="12"/>
  <c r="K34" i="12"/>
  <c r="F35" i="12"/>
  <c r="H34" i="12"/>
  <c r="K27" i="15"/>
  <c r="H34" i="14"/>
  <c r="H33" i="14"/>
  <c r="K26" i="15"/>
  <c r="K41" i="13"/>
  <c r="H41" i="13"/>
  <c r="H38" i="11"/>
  <c r="K28" i="8"/>
  <c r="H28" i="8"/>
  <c r="K27" i="8"/>
  <c r="H27" i="8"/>
  <c r="K23" i="7"/>
  <c r="H23" i="7"/>
  <c r="H39" i="2"/>
  <c r="K39" i="2"/>
  <c r="D54" i="1" l="1"/>
  <c r="F54" i="1" s="1"/>
  <c r="D38" i="13"/>
  <c r="K38" i="13" s="1"/>
  <c r="D35" i="11"/>
  <c r="F35" i="11" s="1"/>
  <c r="D41" i="9"/>
  <c r="H41" i="9" s="1"/>
  <c r="D46" i="3"/>
  <c r="K46" i="3" s="1"/>
  <c r="K41" i="9" l="1"/>
  <c r="F41" i="9"/>
  <c r="K35" i="11"/>
  <c r="K54" i="1"/>
  <c r="H54" i="1"/>
  <c r="F38" i="13"/>
  <c r="H38" i="13"/>
  <c r="H35" i="11"/>
  <c r="F46" i="3"/>
  <c r="H46" i="3"/>
  <c r="D40" i="13" l="1"/>
  <c r="F40" i="13" s="1"/>
  <c r="F33" i="12"/>
  <c r="H33" i="12"/>
  <c r="K33" i="12"/>
  <c r="D36" i="11"/>
  <c r="D37" i="11"/>
  <c r="D23" i="10"/>
  <c r="H23" i="10" s="1"/>
  <c r="D21" i="10"/>
  <c r="H21" i="10" s="1"/>
  <c r="K39" i="9"/>
  <c r="D42" i="9"/>
  <c r="D43" i="9"/>
  <c r="D24" i="8"/>
  <c r="D25" i="8"/>
  <c r="F25" i="8" s="1"/>
  <c r="D26" i="8"/>
  <c r="F26" i="8" s="1"/>
  <c r="D23" i="8"/>
  <c r="K23" i="8" s="1"/>
  <c r="D22" i="7"/>
  <c r="F22" i="7" s="1"/>
  <c r="D59" i="5"/>
  <c r="F59" i="5" s="1"/>
  <c r="D62" i="5"/>
  <c r="H62" i="5" s="1"/>
  <c r="D58" i="5"/>
  <c r="K58" i="5" s="1"/>
  <c r="D56" i="5"/>
  <c r="F56" i="5" s="1"/>
  <c r="D57" i="5"/>
  <c r="H57" i="5" s="1"/>
  <c r="D55" i="5"/>
  <c r="K55" i="5" s="1"/>
  <c r="D47" i="3"/>
  <c r="F47" i="3" s="1"/>
  <c r="D48" i="3"/>
  <c r="F48" i="3" s="1"/>
  <c r="D49" i="3"/>
  <c r="F49" i="3" s="1"/>
  <c r="D50" i="3"/>
  <c r="F50" i="3" s="1"/>
  <c r="D34" i="2"/>
  <c r="K34" i="2" s="1"/>
  <c r="D35" i="2"/>
  <c r="F35" i="2" s="1"/>
  <c r="D36" i="2"/>
  <c r="D37" i="2"/>
  <c r="F37" i="2" s="1"/>
  <c r="D53" i="1"/>
  <c r="F53" i="1" s="1"/>
  <c r="F42" i="9" l="1"/>
  <c r="H42" i="9"/>
  <c r="F43" i="9"/>
  <c r="H43" i="9"/>
  <c r="F37" i="11"/>
  <c r="K37" i="11"/>
  <c r="F36" i="11"/>
  <c r="K36" i="11"/>
  <c r="F24" i="8"/>
  <c r="F36" i="2"/>
  <c r="F21" i="10"/>
  <c r="K21" i="10"/>
  <c r="F23" i="10"/>
  <c r="K62" i="5"/>
  <c r="H37" i="11"/>
  <c r="K23" i="10"/>
  <c r="K43" i="9"/>
  <c r="K42" i="9"/>
  <c r="F62" i="5"/>
  <c r="K59" i="5"/>
  <c r="K50" i="3"/>
  <c r="H50" i="3"/>
  <c r="H53" i="1"/>
  <c r="K40" i="13"/>
  <c r="H40" i="13"/>
  <c r="H36" i="11"/>
  <c r="K26" i="8"/>
  <c r="H26" i="8"/>
  <c r="K24" i="8"/>
  <c r="H24" i="8"/>
  <c r="H25" i="8"/>
  <c r="K25" i="8"/>
  <c r="F23" i="8"/>
  <c r="H23" i="8"/>
  <c r="K22" i="7"/>
  <c r="H22" i="7"/>
  <c r="H59" i="5"/>
  <c r="F58" i="5"/>
  <c r="H58" i="5"/>
  <c r="F57" i="5"/>
  <c r="K56" i="5"/>
  <c r="H56" i="5"/>
  <c r="K57" i="5"/>
  <c r="F55" i="5"/>
  <c r="H55" i="5"/>
  <c r="K48" i="3"/>
  <c r="H48" i="3"/>
  <c r="K49" i="3"/>
  <c r="K47" i="3"/>
  <c r="H49" i="3"/>
  <c r="H47" i="3"/>
  <c r="K37" i="2"/>
  <c r="H37" i="2"/>
  <c r="K36" i="2"/>
  <c r="H36" i="2"/>
  <c r="F34" i="2"/>
  <c r="H34" i="2"/>
  <c r="K35" i="2"/>
  <c r="H35" i="2"/>
  <c r="K53" i="1"/>
  <c r="D25" i="15" l="1"/>
  <c r="H25" i="15" s="1"/>
  <c r="D21" i="15"/>
  <c r="D39" i="13"/>
  <c r="K39" i="13" s="1"/>
  <c r="D37" i="13"/>
  <c r="K37" i="13" s="1"/>
  <c r="D29" i="13"/>
  <c r="K29" i="13" s="1"/>
  <c r="D30" i="13"/>
  <c r="K30" i="13" s="1"/>
  <c r="D31" i="13"/>
  <c r="K31" i="13" s="1"/>
  <c r="D32" i="13"/>
  <c r="K32" i="13" s="1"/>
  <c r="D33" i="13"/>
  <c r="K33" i="13" s="1"/>
  <c r="D35" i="13"/>
  <c r="K35" i="13" s="1"/>
  <c r="D28" i="13"/>
  <c r="K28" i="13" s="1"/>
  <c r="D22" i="13"/>
  <c r="K22" i="13" s="1"/>
  <c r="D23" i="13"/>
  <c r="K23" i="13" s="1"/>
  <c r="D24" i="13"/>
  <c r="K24" i="13" s="1"/>
  <c r="D25" i="13"/>
  <c r="K25" i="13" s="1"/>
  <c r="D26" i="13"/>
  <c r="D27" i="13"/>
  <c r="K27" i="13" s="1"/>
  <c r="D31" i="12"/>
  <c r="D29" i="12"/>
  <c r="D30" i="12"/>
  <c r="D28" i="12"/>
  <c r="D29" i="11"/>
  <c r="D30" i="11"/>
  <c r="D31" i="11"/>
  <c r="D32" i="11"/>
  <c r="D33" i="11"/>
  <c r="D26" i="11"/>
  <c r="D27" i="11"/>
  <c r="D28" i="11"/>
  <c r="D24" i="11"/>
  <c r="D25" i="11"/>
  <c r="D34" i="9"/>
  <c r="K34" i="9" s="1"/>
  <c r="D36" i="9"/>
  <c r="K36" i="9" s="1"/>
  <c r="D37" i="9"/>
  <c r="K37" i="9" s="1"/>
  <c r="D38" i="9"/>
  <c r="K38" i="9" s="1"/>
  <c r="D30" i="9"/>
  <c r="K30" i="9" s="1"/>
  <c r="D27" i="9"/>
  <c r="K27" i="9" s="1"/>
  <c r="D28" i="9"/>
  <c r="K28" i="9" s="1"/>
  <c r="D29" i="9"/>
  <c r="K29" i="9" s="1"/>
  <c r="D16" i="7"/>
  <c r="F16" i="7" s="1"/>
  <c r="K26" i="13" l="1"/>
  <c r="F26" i="13"/>
  <c r="K16" i="7"/>
  <c r="H16" i="7"/>
  <c r="D35" i="3" l="1"/>
  <c r="F35" i="3" s="1"/>
  <c r="D34" i="3"/>
  <c r="F34" i="3" s="1"/>
  <c r="D42" i="1"/>
  <c r="H42" i="1" s="1"/>
  <c r="D41" i="1"/>
  <c r="K41" i="1" s="1"/>
  <c r="K35" i="3" l="1"/>
  <c r="H35" i="3"/>
  <c r="K34" i="3"/>
  <c r="H34" i="3"/>
  <c r="F41" i="1"/>
  <c r="H41" i="1"/>
  <c r="K42" i="1"/>
  <c r="F42" i="1"/>
  <c r="K27" i="12" l="1"/>
  <c r="K28" i="12"/>
  <c r="K29" i="12"/>
  <c r="K26" i="12"/>
  <c r="H28" i="12"/>
  <c r="H27" i="12"/>
  <c r="H26" i="12"/>
  <c r="K25" i="12"/>
  <c r="K30" i="12"/>
  <c r="H29" i="12"/>
  <c r="F29" i="12"/>
  <c r="F28" i="12"/>
  <c r="F27" i="12"/>
  <c r="F26" i="12"/>
  <c r="F25" i="12" l="1"/>
  <c r="H25" i="12"/>
  <c r="H30" i="12"/>
  <c r="F30" i="12"/>
  <c r="H31" i="12" l="1"/>
  <c r="K31" i="12"/>
  <c r="F31" i="12"/>
  <c r="K19" i="11" l="1"/>
  <c r="K20" i="10"/>
  <c r="H20" i="10"/>
  <c r="D19" i="10"/>
  <c r="H19" i="10" s="1"/>
  <c r="D16" i="10"/>
  <c r="K16" i="10" s="1"/>
  <c r="D13" i="10"/>
  <c r="F13" i="10" s="1"/>
  <c r="D14" i="10"/>
  <c r="K14" i="10" s="1"/>
  <c r="D15" i="10"/>
  <c r="H15" i="10" s="1"/>
  <c r="D12" i="10"/>
  <c r="K12" i="10" s="1"/>
  <c r="D11" i="10"/>
  <c r="K11" i="10" s="1"/>
  <c r="F10" i="10"/>
  <c r="D8" i="10"/>
  <c r="K25" i="15"/>
  <c r="F25" i="15"/>
  <c r="F22" i="15"/>
  <c r="K21" i="15"/>
  <c r="H21" i="15"/>
  <c r="F21" i="15"/>
  <c r="J42" i="13"/>
  <c r="H39" i="13"/>
  <c r="H37" i="13"/>
  <c r="F37" i="13"/>
  <c r="H35" i="13"/>
  <c r="F35" i="13"/>
  <c r="H33" i="13"/>
  <c r="F33" i="13"/>
  <c r="H32" i="13"/>
  <c r="F32" i="13"/>
  <c r="H31" i="13"/>
  <c r="H29" i="13"/>
  <c r="H28" i="13"/>
  <c r="F28" i="13"/>
  <c r="H27" i="13"/>
  <c r="F27" i="13"/>
  <c r="H26" i="13"/>
  <c r="H25" i="13"/>
  <c r="F25" i="13"/>
  <c r="H24" i="13"/>
  <c r="F24" i="13"/>
  <c r="H23" i="13"/>
  <c r="F23" i="13"/>
  <c r="H22" i="13"/>
  <c r="F22" i="13"/>
  <c r="H29" i="14"/>
  <c r="K28" i="14"/>
  <c r="H28" i="14"/>
  <c r="F28" i="14"/>
  <c r="K27" i="14"/>
  <c r="H27" i="14"/>
  <c r="F27" i="14"/>
  <c r="K26" i="14"/>
  <c r="H26" i="14"/>
  <c r="F26" i="14"/>
  <c r="K25" i="14"/>
  <c r="G24" i="14"/>
  <c r="K23" i="14"/>
  <c r="H23" i="14"/>
  <c r="F23" i="14"/>
  <c r="H22" i="14"/>
  <c r="F22" i="14"/>
  <c r="K21" i="14"/>
  <c r="H21" i="14"/>
  <c r="F21" i="14"/>
  <c r="K20" i="14"/>
  <c r="H20" i="14"/>
  <c r="F20" i="14"/>
  <c r="H19" i="14"/>
  <c r="F19" i="14"/>
  <c r="K33" i="11"/>
  <c r="H33" i="11"/>
  <c r="F33" i="11"/>
  <c r="K32" i="11"/>
  <c r="H32" i="11"/>
  <c r="F32" i="11"/>
  <c r="H30" i="11"/>
  <c r="F30" i="11"/>
  <c r="H29" i="11"/>
  <c r="H28" i="11"/>
  <c r="H27" i="11"/>
  <c r="F27" i="11"/>
  <c r="K26" i="11"/>
  <c r="H26" i="11"/>
  <c r="F26" i="11"/>
  <c r="K25" i="11"/>
  <c r="H25" i="11"/>
  <c r="F25" i="11"/>
  <c r="K24" i="11"/>
  <c r="H24" i="11"/>
  <c r="F24" i="11"/>
  <c r="D18" i="10"/>
  <c r="K18" i="10" s="1"/>
  <c r="D40" i="9"/>
  <c r="K40" i="9" s="1"/>
  <c r="H39" i="9"/>
  <c r="F39" i="9"/>
  <c r="H38" i="9"/>
  <c r="F38" i="9"/>
  <c r="H37" i="9"/>
  <c r="F37" i="9"/>
  <c r="H36" i="9"/>
  <c r="F36" i="9"/>
  <c r="I35" i="9"/>
  <c r="I45" i="9" s="1"/>
  <c r="E35" i="9"/>
  <c r="E45" i="9" s="1"/>
  <c r="H30" i="9"/>
  <c r="F30" i="9"/>
  <c r="H29" i="9"/>
  <c r="F29" i="9"/>
  <c r="H28" i="9"/>
  <c r="F28" i="9"/>
  <c r="H27" i="9"/>
  <c r="F27" i="9"/>
  <c r="E28" i="15" l="1"/>
  <c r="K8" i="10"/>
  <c r="K9" i="10"/>
  <c r="H36" i="13"/>
  <c r="K36" i="13"/>
  <c r="D34" i="11"/>
  <c r="D35" i="9"/>
  <c r="F35" i="9" s="1"/>
  <c r="D34" i="13"/>
  <c r="H18" i="10"/>
  <c r="F16" i="10"/>
  <c r="K13" i="10"/>
  <c r="D17" i="10"/>
  <c r="D24" i="10" s="1"/>
  <c r="H16" i="10"/>
  <c r="F18" i="10"/>
  <c r="F9" i="10"/>
  <c r="H8" i="10"/>
  <c r="K19" i="10"/>
  <c r="F14" i="10"/>
  <c r="H14" i="10"/>
  <c r="H13" i="10"/>
  <c r="F8" i="10"/>
  <c r="F11" i="10"/>
  <c r="H9" i="10"/>
  <c r="H11" i="10"/>
  <c r="F19" i="10"/>
  <c r="F25" i="14"/>
  <c r="F15" i="10"/>
  <c r="K15" i="10"/>
  <c r="F19" i="11"/>
  <c r="H19" i="11"/>
  <c r="F12" i="10"/>
  <c r="H12" i="10"/>
  <c r="H10" i="10"/>
  <c r="K10" i="10"/>
  <c r="H22" i="15"/>
  <c r="D24" i="15"/>
  <c r="D23" i="15"/>
  <c r="K23" i="15" s="1"/>
  <c r="F36" i="13"/>
  <c r="F29" i="13"/>
  <c r="I42" i="13"/>
  <c r="H30" i="13"/>
  <c r="G42" i="13"/>
  <c r="F31" i="13"/>
  <c r="F39" i="13"/>
  <c r="H25" i="14"/>
  <c r="F29" i="14"/>
  <c r="K31" i="11"/>
  <c r="K28" i="11"/>
  <c r="F28" i="11"/>
  <c r="F29" i="11"/>
  <c r="H40" i="9"/>
  <c r="F40" i="9"/>
  <c r="K24" i="10" l="1"/>
  <c r="F24" i="10"/>
  <c r="H24" i="10"/>
  <c r="H24" i="14"/>
  <c r="D35" i="14"/>
  <c r="K35" i="14" s="1"/>
  <c r="F24" i="15"/>
  <c r="F24" i="14"/>
  <c r="K24" i="14"/>
  <c r="H34" i="13"/>
  <c r="K34" i="13"/>
  <c r="H34" i="11"/>
  <c r="K34" i="11"/>
  <c r="F34" i="11"/>
  <c r="K35" i="9"/>
  <c r="H35" i="9"/>
  <c r="F34" i="13"/>
  <c r="F31" i="11"/>
  <c r="K17" i="10"/>
  <c r="F17" i="10"/>
  <c r="H17" i="10"/>
  <c r="H31" i="11"/>
  <c r="H24" i="15"/>
  <c r="F23" i="15"/>
  <c r="F30" i="13"/>
  <c r="H34" i="9"/>
  <c r="F34" i="9"/>
  <c r="F35" i="14" l="1"/>
  <c r="H35" i="14"/>
  <c r="D20" i="15"/>
  <c r="K20" i="15" s="1"/>
  <c r="K9" i="15"/>
  <c r="K10" i="15"/>
  <c r="H11" i="15"/>
  <c r="H12" i="15"/>
  <c r="F13" i="15"/>
  <c r="F14" i="15"/>
  <c r="F15" i="15"/>
  <c r="D16" i="15"/>
  <c r="F16" i="15" s="1"/>
  <c r="D17" i="15"/>
  <c r="K17" i="15" s="1"/>
  <c r="D18" i="15"/>
  <c r="K18" i="15" s="1"/>
  <c r="D19" i="15"/>
  <c r="H19" i="15" s="1"/>
  <c r="D8" i="15"/>
  <c r="D21" i="13"/>
  <c r="K21" i="13" s="1"/>
  <c r="D9" i="13"/>
  <c r="D10" i="13"/>
  <c r="K10" i="13" s="1"/>
  <c r="D11" i="13"/>
  <c r="K11" i="13" s="1"/>
  <c r="D12" i="13"/>
  <c r="D14" i="13"/>
  <c r="K14" i="13" s="1"/>
  <c r="D15" i="13"/>
  <c r="D16" i="13"/>
  <c r="K16" i="13" s="1"/>
  <c r="D17" i="13"/>
  <c r="D18" i="13"/>
  <c r="K18" i="13" s="1"/>
  <c r="D19" i="13"/>
  <c r="D20" i="13"/>
  <c r="K20" i="13" s="1"/>
  <c r="D8" i="13"/>
  <c r="D24" i="12"/>
  <c r="K24" i="12" s="1"/>
  <c r="D23" i="12"/>
  <c r="H23" i="12" s="1"/>
  <c r="D22" i="12"/>
  <c r="H22" i="12" s="1"/>
  <c r="D21" i="12"/>
  <c r="K21" i="12" s="1"/>
  <c r="D18" i="12"/>
  <c r="F18" i="12" s="1"/>
  <c r="D19" i="12"/>
  <c r="H19" i="12" s="1"/>
  <c r="F20" i="12"/>
  <c r="D17" i="12"/>
  <c r="F17" i="12" s="1"/>
  <c r="D14" i="12"/>
  <c r="H14" i="12" s="1"/>
  <c r="D13" i="12"/>
  <c r="H13" i="12" s="1"/>
  <c r="D10" i="12"/>
  <c r="H10" i="12" s="1"/>
  <c r="D11" i="12"/>
  <c r="F11" i="12" s="1"/>
  <c r="D12" i="12"/>
  <c r="D9" i="12"/>
  <c r="K9" i="12" s="1"/>
  <c r="D8" i="12"/>
  <c r="H8" i="12" s="1"/>
  <c r="H9" i="11"/>
  <c r="H10" i="11"/>
  <c r="D11" i="11"/>
  <c r="K11" i="11" s="1"/>
  <c r="D12" i="11"/>
  <c r="K12" i="11" s="1"/>
  <c r="D13" i="11"/>
  <c r="K13" i="11" s="1"/>
  <c r="D14" i="11"/>
  <c r="K14" i="11" s="1"/>
  <c r="D15" i="11"/>
  <c r="K15" i="11" s="1"/>
  <c r="D16" i="11"/>
  <c r="H16" i="11" s="1"/>
  <c r="D17" i="11"/>
  <c r="H17" i="11" s="1"/>
  <c r="D18" i="11"/>
  <c r="F18" i="11" s="1"/>
  <c r="D20" i="11"/>
  <c r="F20" i="11" s="1"/>
  <c r="H21" i="11"/>
  <c r="D22" i="11"/>
  <c r="K22" i="11" s="1"/>
  <c r="D23" i="11"/>
  <c r="K23" i="11" s="1"/>
  <c r="D8" i="11"/>
  <c r="D23" i="9"/>
  <c r="D17" i="9"/>
  <c r="D18" i="9"/>
  <c r="D19" i="9"/>
  <c r="D20" i="9"/>
  <c r="D21" i="9"/>
  <c r="D22" i="9"/>
  <c r="D24" i="9"/>
  <c r="D25" i="9"/>
  <c r="D26" i="9"/>
  <c r="D16" i="9"/>
  <c r="H16" i="9" s="1"/>
  <c r="D15" i="9"/>
  <c r="D9" i="9"/>
  <c r="D11" i="9"/>
  <c r="D12" i="9"/>
  <c r="D13" i="9"/>
  <c r="D8" i="9"/>
  <c r="D21" i="2"/>
  <c r="F21" i="2" s="1"/>
  <c r="D19" i="2"/>
  <c r="F19" i="2" s="1"/>
  <c r="K9" i="14"/>
  <c r="H10" i="14"/>
  <c r="K12" i="14"/>
  <c r="F13" i="14"/>
  <c r="H14" i="14"/>
  <c r="H15" i="14"/>
  <c r="F16" i="14"/>
  <c r="K17" i="14"/>
  <c r="H18" i="14"/>
  <c r="F8" i="14"/>
  <c r="D22" i="2"/>
  <c r="F8" i="15" l="1"/>
  <c r="D28" i="15"/>
  <c r="H8" i="13"/>
  <c r="D42" i="13"/>
  <c r="K12" i="12"/>
  <c r="D39" i="11"/>
  <c r="K8" i="11"/>
  <c r="H12" i="12"/>
  <c r="H11" i="12"/>
  <c r="K11" i="12"/>
  <c r="K22" i="12"/>
  <c r="K18" i="12"/>
  <c r="F22" i="12"/>
  <c r="F24" i="12"/>
  <c r="H20" i="12"/>
  <c r="K20" i="12"/>
  <c r="K19" i="12"/>
  <c r="H18" i="12"/>
  <c r="F12" i="12"/>
  <c r="H24" i="12"/>
  <c r="F17" i="14"/>
  <c r="F12" i="14"/>
  <c r="F10" i="14"/>
  <c r="H17" i="14"/>
  <c r="H9" i="14"/>
  <c r="F9" i="14"/>
  <c r="K8" i="14"/>
  <c r="F14" i="14"/>
  <c r="K16" i="14"/>
  <c r="K13" i="14"/>
  <c r="K14" i="14"/>
  <c r="H16" i="14"/>
  <c r="H12" i="14"/>
  <c r="K10" i="14"/>
  <c r="H9" i="13"/>
  <c r="K9" i="13"/>
  <c r="H15" i="13"/>
  <c r="K15" i="13"/>
  <c r="H12" i="13"/>
  <c r="K12" i="13"/>
  <c r="F17" i="13"/>
  <c r="K17" i="13"/>
  <c r="F19" i="13"/>
  <c r="K19" i="13"/>
  <c r="F26" i="9"/>
  <c r="K26" i="9"/>
  <c r="H24" i="9"/>
  <c r="K24" i="9"/>
  <c r="H22" i="9"/>
  <c r="K22" i="9"/>
  <c r="F21" i="9"/>
  <c r="K21" i="9"/>
  <c r="F20" i="9"/>
  <c r="K20" i="9"/>
  <c r="H11" i="9"/>
  <c r="K11" i="9"/>
  <c r="F18" i="9"/>
  <c r="K18" i="9"/>
  <c r="F17" i="9"/>
  <c r="K17" i="9"/>
  <c r="F14" i="9"/>
  <c r="K14" i="9"/>
  <c r="F15" i="9"/>
  <c r="K15" i="9"/>
  <c r="H23" i="9"/>
  <c r="K23" i="9"/>
  <c r="H25" i="9"/>
  <c r="K25" i="9"/>
  <c r="F8" i="9"/>
  <c r="K8" i="9"/>
  <c r="F13" i="9"/>
  <c r="K13" i="9"/>
  <c r="H12" i="9"/>
  <c r="K12" i="9"/>
  <c r="F19" i="9"/>
  <c r="K19" i="9"/>
  <c r="F10" i="9"/>
  <c r="K10" i="9"/>
  <c r="H9" i="9"/>
  <c r="K9" i="9"/>
  <c r="F16" i="9"/>
  <c r="K16" i="9"/>
  <c r="K23" i="12"/>
  <c r="H21" i="9"/>
  <c r="H10" i="9"/>
  <c r="H19" i="9"/>
  <c r="F21" i="12"/>
  <c r="H21" i="12"/>
  <c r="H20" i="9"/>
  <c r="H18" i="9"/>
  <c r="K10" i="11"/>
  <c r="F16" i="11"/>
  <c r="F15" i="11"/>
  <c r="H15" i="11"/>
  <c r="H14" i="11"/>
  <c r="F11" i="11"/>
  <c r="K18" i="11"/>
  <c r="F10" i="11"/>
  <c r="H8" i="11"/>
  <c r="F8" i="11"/>
  <c r="K20" i="11"/>
  <c r="F23" i="11"/>
  <c r="F21" i="11"/>
  <c r="H20" i="11"/>
  <c r="K16" i="11"/>
  <c r="H11" i="11"/>
  <c r="K21" i="11"/>
  <c r="H23" i="11"/>
  <c r="H18" i="11"/>
  <c r="F15" i="14"/>
  <c r="K15" i="14"/>
  <c r="F19" i="12"/>
  <c r="F17" i="11"/>
  <c r="K17" i="11"/>
  <c r="K17" i="12"/>
  <c r="H17" i="12"/>
  <c r="F12" i="9"/>
  <c r="H13" i="14"/>
  <c r="K14" i="12"/>
  <c r="F14" i="12"/>
  <c r="F14" i="11"/>
  <c r="F13" i="11"/>
  <c r="H13" i="11"/>
  <c r="F12" i="11"/>
  <c r="H12" i="11"/>
  <c r="F13" i="12"/>
  <c r="K13" i="12"/>
  <c r="K10" i="12"/>
  <c r="F10" i="12"/>
  <c r="F9" i="12"/>
  <c r="H9" i="12"/>
  <c r="K8" i="12"/>
  <c r="F8" i="12"/>
  <c r="K9" i="11"/>
  <c r="F9" i="11"/>
  <c r="H8" i="14"/>
  <c r="K18" i="14"/>
  <c r="F18" i="14"/>
  <c r="F20" i="15"/>
  <c r="H20" i="15"/>
  <c r="F10" i="15"/>
  <c r="F9" i="15"/>
  <c r="H8" i="15"/>
  <c r="H10" i="15"/>
  <c r="H9" i="15"/>
  <c r="K8" i="15"/>
  <c r="H17" i="15"/>
  <c r="F12" i="15"/>
  <c r="H16" i="15"/>
  <c r="H15" i="15"/>
  <c r="F17" i="15"/>
  <c r="K16" i="15"/>
  <c r="F11" i="15"/>
  <c r="K15" i="15"/>
  <c r="H14" i="15"/>
  <c r="K12" i="15"/>
  <c r="H13" i="15"/>
  <c r="K11" i="15"/>
  <c r="K14" i="15"/>
  <c r="K13" i="15"/>
  <c r="K19" i="15"/>
  <c r="F19" i="15"/>
  <c r="F18" i="15"/>
  <c r="H18" i="15"/>
  <c r="H21" i="13"/>
  <c r="F21" i="13"/>
  <c r="F20" i="13"/>
  <c r="H20" i="13"/>
  <c r="K8" i="13"/>
  <c r="H19" i="13"/>
  <c r="F16" i="13"/>
  <c r="H16" i="13"/>
  <c r="F14" i="13"/>
  <c r="F11" i="13"/>
  <c r="F18" i="13"/>
  <c r="H18" i="13"/>
  <c r="H17" i="13"/>
  <c r="F12" i="13"/>
  <c r="H11" i="13"/>
  <c r="F8" i="13"/>
  <c r="F9" i="13"/>
  <c r="H10" i="13"/>
  <c r="F15" i="13"/>
  <c r="H14" i="13"/>
  <c r="F10" i="13"/>
  <c r="F23" i="12"/>
  <c r="F22" i="11"/>
  <c r="H22" i="11"/>
  <c r="F23" i="9"/>
  <c r="F11" i="9"/>
  <c r="H8" i="9"/>
  <c r="H13" i="9"/>
  <c r="H14" i="9"/>
  <c r="H15" i="9"/>
  <c r="F9" i="9"/>
  <c r="H17" i="9"/>
  <c r="F24" i="9"/>
  <c r="F22" i="9"/>
  <c r="H26" i="9"/>
  <c r="F25" i="9"/>
  <c r="K21" i="2"/>
  <c r="H21" i="2"/>
  <c r="K19" i="2"/>
  <c r="H19" i="2"/>
  <c r="D9" i="1"/>
  <c r="D9" i="8"/>
  <c r="F9" i="8" s="1"/>
  <c r="D10" i="8"/>
  <c r="H10" i="8" s="1"/>
  <c r="D11" i="8"/>
  <c r="H11" i="8" s="1"/>
  <c r="D12" i="8"/>
  <c r="F12" i="8" s="1"/>
  <c r="D13" i="8"/>
  <c r="H13" i="8" s="1"/>
  <c r="D14" i="8"/>
  <c r="F14" i="8" s="1"/>
  <c r="D16" i="8"/>
  <c r="D17" i="8"/>
  <c r="H17" i="8" s="1"/>
  <c r="D18" i="8"/>
  <c r="K18" i="8" s="1"/>
  <c r="D19" i="8"/>
  <c r="H19" i="8" s="1"/>
  <c r="D20" i="8"/>
  <c r="F20" i="8" s="1"/>
  <c r="D21" i="8"/>
  <c r="F21" i="8" s="1"/>
  <c r="D22" i="8"/>
  <c r="H22" i="8" s="1"/>
  <c r="D8" i="8"/>
  <c r="D10" i="7"/>
  <c r="D11" i="7"/>
  <c r="H11" i="7" s="1"/>
  <c r="D12" i="7"/>
  <c r="F12" i="7" s="1"/>
  <c r="D13" i="7"/>
  <c r="F13" i="7" s="1"/>
  <c r="D14" i="7"/>
  <c r="H14" i="7" s="1"/>
  <c r="D15" i="7"/>
  <c r="F15" i="7" s="1"/>
  <c r="D17" i="7"/>
  <c r="F17" i="7" s="1"/>
  <c r="D18" i="7"/>
  <c r="F18" i="7" s="1"/>
  <c r="D19" i="7"/>
  <c r="F19" i="7" s="1"/>
  <c r="D20" i="7"/>
  <c r="F20" i="7" s="1"/>
  <c r="D21" i="7"/>
  <c r="H21" i="7" s="1"/>
  <c r="D8" i="7"/>
  <c r="O21" i="7"/>
  <c r="V21" i="7" s="1"/>
  <c r="O20" i="7"/>
  <c r="S20" i="7" s="1"/>
  <c r="V19" i="7"/>
  <c r="S19" i="7"/>
  <c r="Q19" i="7"/>
  <c r="O18" i="7"/>
  <c r="Q18" i="7" s="1"/>
  <c r="V17" i="7"/>
  <c r="S17" i="7"/>
  <c r="Q17" i="7"/>
  <c r="V15" i="7"/>
  <c r="S15" i="7"/>
  <c r="Q15" i="7"/>
  <c r="V14" i="7"/>
  <c r="S14" i="7"/>
  <c r="Q14" i="7"/>
  <c r="V13" i="7"/>
  <c r="S13" i="7"/>
  <c r="Q13" i="7"/>
  <c r="D9" i="6"/>
  <c r="F9" i="6" s="1"/>
  <c r="F10" i="6"/>
  <c r="D11" i="6"/>
  <c r="F11" i="6" s="1"/>
  <c r="D12" i="6"/>
  <c r="F12" i="6" s="1"/>
  <c r="D13" i="6"/>
  <c r="F13" i="6" s="1"/>
  <c r="D14" i="6"/>
  <c r="F14" i="6" s="1"/>
  <c r="D15" i="6"/>
  <c r="F15" i="6" s="1"/>
  <c r="D16" i="6"/>
  <c r="F16" i="6" s="1"/>
  <c r="D17" i="6"/>
  <c r="F17" i="6" s="1"/>
  <c r="D19" i="6"/>
  <c r="F19" i="6" s="1"/>
  <c r="D20" i="6"/>
  <c r="F20" i="6" s="1"/>
  <c r="D21" i="6"/>
  <c r="F21" i="6" s="1"/>
  <c r="D22" i="6"/>
  <c r="F22" i="6" s="1"/>
  <c r="D23" i="6"/>
  <c r="F23" i="6" s="1"/>
  <c r="D24" i="6"/>
  <c r="F24" i="6" s="1"/>
  <c r="D25" i="6"/>
  <c r="F25" i="6" s="1"/>
  <c r="D26" i="6"/>
  <c r="F26" i="6" s="1"/>
  <c r="D27" i="6"/>
  <c r="F27" i="6" s="1"/>
  <c r="D28" i="6"/>
  <c r="F28" i="6" s="1"/>
  <c r="D29" i="6"/>
  <c r="F29" i="6" s="1"/>
  <c r="F30" i="6"/>
  <c r="D31" i="6"/>
  <c r="F31" i="6" s="1"/>
  <c r="D8" i="6"/>
  <c r="F9" i="5"/>
  <c r="D10" i="5"/>
  <c r="K10" i="5" s="1"/>
  <c r="D11" i="5"/>
  <c r="D12" i="5"/>
  <c r="F12" i="5" s="1"/>
  <c r="D13" i="5"/>
  <c r="H13" i="5" s="1"/>
  <c r="F14" i="5"/>
  <c r="F15" i="5"/>
  <c r="F18" i="5"/>
  <c r="F19" i="5"/>
  <c r="D20" i="5"/>
  <c r="K20" i="5" s="1"/>
  <c r="D21" i="5"/>
  <c r="F21" i="5" s="1"/>
  <c r="D22" i="5"/>
  <c r="F22" i="5" s="1"/>
  <c r="D24" i="5"/>
  <c r="F24" i="5" s="1"/>
  <c r="D25" i="5"/>
  <c r="H25" i="5" s="1"/>
  <c r="D26" i="5"/>
  <c r="F26" i="5" s="1"/>
  <c r="D27" i="5"/>
  <c r="F27" i="5" s="1"/>
  <c r="D28" i="5"/>
  <c r="F28" i="5" s="1"/>
  <c r="D29" i="5"/>
  <c r="F29" i="5" s="1"/>
  <c r="D30" i="5"/>
  <c r="H30" i="5" s="1"/>
  <c r="D31" i="5"/>
  <c r="F31" i="5" s="1"/>
  <c r="D32" i="5"/>
  <c r="D34" i="5"/>
  <c r="F34" i="5" s="1"/>
  <c r="D35" i="5"/>
  <c r="F35" i="5" s="1"/>
  <c r="D37" i="5"/>
  <c r="F37" i="5" s="1"/>
  <c r="D38" i="5"/>
  <c r="K38" i="5" s="1"/>
  <c r="D39" i="5"/>
  <c r="F39" i="5" s="1"/>
  <c r="D40" i="5"/>
  <c r="F40" i="5" s="1"/>
  <c r="D41" i="5"/>
  <c r="F41" i="5" s="1"/>
  <c r="D42" i="5"/>
  <c r="F42" i="5" s="1"/>
  <c r="D43" i="5"/>
  <c r="D44" i="5"/>
  <c r="K44" i="5" s="1"/>
  <c r="D45" i="5"/>
  <c r="F45" i="5" s="1"/>
  <c r="F46" i="5"/>
  <c r="D47" i="5"/>
  <c r="F47" i="5" s="1"/>
  <c r="D48" i="5"/>
  <c r="F48" i="5" s="1"/>
  <c r="D49" i="5"/>
  <c r="H49" i="5" s="1"/>
  <c r="D50" i="5"/>
  <c r="F50" i="5" s="1"/>
  <c r="D51" i="5"/>
  <c r="F51" i="5" s="1"/>
  <c r="D52" i="5"/>
  <c r="F52" i="5" s="1"/>
  <c r="D53" i="5"/>
  <c r="D54" i="5"/>
  <c r="D8" i="5"/>
  <c r="K8" i="5" s="1"/>
  <c r="D12" i="4"/>
  <c r="F12" i="4" s="1"/>
  <c r="K13" i="4"/>
  <c r="F15" i="4"/>
  <c r="D18" i="4"/>
  <c r="F18" i="4" s="1"/>
  <c r="D19" i="4"/>
  <c r="F19" i="4" s="1"/>
  <c r="D20" i="4"/>
  <c r="F20" i="4" s="1"/>
  <c r="D23" i="4"/>
  <c r="K23" i="4" s="1"/>
  <c r="D24" i="4"/>
  <c r="F24" i="4" s="1"/>
  <c r="D25" i="4"/>
  <c r="F25" i="4" s="1"/>
  <c r="D26" i="4"/>
  <c r="F26" i="4" s="1"/>
  <c r="D27" i="4"/>
  <c r="F27" i="4" s="1"/>
  <c r="D28" i="4"/>
  <c r="F28" i="4" s="1"/>
  <c r="D29" i="4"/>
  <c r="F29" i="4" s="1"/>
  <c r="D30" i="4"/>
  <c r="F30" i="4" s="1"/>
  <c r="D32" i="4"/>
  <c r="K32" i="4" s="1"/>
  <c r="D9" i="4"/>
  <c r="J51" i="3"/>
  <c r="I51" i="3"/>
  <c r="G51" i="3"/>
  <c r="E51" i="3"/>
  <c r="D9" i="3"/>
  <c r="H9" i="3" s="1"/>
  <c r="D10" i="3"/>
  <c r="K10" i="3" s="1"/>
  <c r="D11" i="3"/>
  <c r="F11" i="3" s="1"/>
  <c r="D12" i="3"/>
  <c r="H12" i="3" s="1"/>
  <c r="D13" i="3"/>
  <c r="F13" i="3" s="1"/>
  <c r="D14" i="3"/>
  <c r="F14" i="3" s="1"/>
  <c r="D15" i="3"/>
  <c r="H15" i="3" s="1"/>
  <c r="D16" i="3"/>
  <c r="H16" i="3" s="1"/>
  <c r="D17" i="3"/>
  <c r="F17" i="3" s="1"/>
  <c r="D18" i="3"/>
  <c r="H18" i="3" s="1"/>
  <c r="D19" i="3"/>
  <c r="H19" i="3" s="1"/>
  <c r="D20" i="3"/>
  <c r="H20" i="3" s="1"/>
  <c r="D21" i="3"/>
  <c r="F21" i="3" s="1"/>
  <c r="D22" i="3"/>
  <c r="H22" i="3" s="1"/>
  <c r="D23" i="3"/>
  <c r="H23" i="3" s="1"/>
  <c r="D24" i="3"/>
  <c r="F24" i="3" s="1"/>
  <c r="D26" i="3"/>
  <c r="F26" i="3" s="1"/>
  <c r="D27" i="3"/>
  <c r="H27" i="3" s="1"/>
  <c r="D28" i="3"/>
  <c r="F28" i="3" s="1"/>
  <c r="D29" i="3"/>
  <c r="H29" i="3" s="1"/>
  <c r="D30" i="3"/>
  <c r="H30" i="3" s="1"/>
  <c r="D31" i="3"/>
  <c r="F31" i="3" s="1"/>
  <c r="D32" i="3"/>
  <c r="H32" i="3" s="1"/>
  <c r="D33" i="3"/>
  <c r="F33" i="3" s="1"/>
  <c r="D36" i="3"/>
  <c r="H36" i="3" s="1"/>
  <c r="D37" i="3"/>
  <c r="F37" i="3" s="1"/>
  <c r="D38" i="3"/>
  <c r="H38" i="3" s="1"/>
  <c r="D39" i="3"/>
  <c r="F39" i="3" s="1"/>
  <c r="D40" i="3"/>
  <c r="H40" i="3" s="1"/>
  <c r="D41" i="3"/>
  <c r="F41" i="3" s="1"/>
  <c r="D42" i="3"/>
  <c r="F42" i="3" s="1"/>
  <c r="D43" i="3"/>
  <c r="H43" i="3" s="1"/>
  <c r="D44" i="3"/>
  <c r="F44" i="3" s="1"/>
  <c r="D45" i="3"/>
  <c r="F45" i="3" s="1"/>
  <c r="D8" i="3"/>
  <c r="K8" i="3" s="1"/>
  <c r="D9" i="2"/>
  <c r="F9" i="2" s="1"/>
  <c r="D10" i="2"/>
  <c r="F10" i="2" s="1"/>
  <c r="D11" i="2"/>
  <c r="F11" i="2" s="1"/>
  <c r="D12" i="2"/>
  <c r="F12" i="2" s="1"/>
  <c r="D13" i="2"/>
  <c r="F13" i="2" s="1"/>
  <c r="D14" i="2"/>
  <c r="F14" i="2" s="1"/>
  <c r="D15" i="2"/>
  <c r="F15" i="2" s="1"/>
  <c r="F16" i="2"/>
  <c r="D17" i="2"/>
  <c r="F17" i="2" s="1"/>
  <c r="D18" i="2"/>
  <c r="F20" i="2"/>
  <c r="F22" i="2"/>
  <c r="D23" i="2"/>
  <c r="F23" i="2" s="1"/>
  <c r="D24" i="2"/>
  <c r="F24" i="2" s="1"/>
  <c r="D25" i="2"/>
  <c r="F25" i="2" s="1"/>
  <c r="D26" i="2"/>
  <c r="F26" i="2" s="1"/>
  <c r="F27" i="2"/>
  <c r="D28" i="2"/>
  <c r="F28" i="2" s="1"/>
  <c r="D29" i="2"/>
  <c r="F29" i="2" s="1"/>
  <c r="D30" i="2"/>
  <c r="F30" i="2" s="1"/>
  <c r="D31" i="2"/>
  <c r="F31" i="2" s="1"/>
  <c r="D32" i="2"/>
  <c r="F32" i="2" s="1"/>
  <c r="D33" i="2"/>
  <c r="F33" i="2" s="1"/>
  <c r="D8" i="2"/>
  <c r="F8" i="2" s="1"/>
  <c r="D34" i="1"/>
  <c r="D35" i="1"/>
  <c r="D36" i="1"/>
  <c r="D37" i="1"/>
  <c r="D38" i="1"/>
  <c r="D39" i="1"/>
  <c r="D40" i="1"/>
  <c r="D43" i="1"/>
  <c r="D44" i="1"/>
  <c r="D45" i="1"/>
  <c r="D46" i="1"/>
  <c r="D47" i="1"/>
  <c r="D48" i="1"/>
  <c r="D49" i="1"/>
  <c r="D50" i="1"/>
  <c r="D51" i="1"/>
  <c r="D52" i="1"/>
  <c r="H8" i="6" l="1"/>
  <c r="D32" i="6"/>
  <c r="F32" i="6" s="1"/>
  <c r="K8" i="7"/>
  <c r="D24" i="7"/>
  <c r="F24" i="7" s="1"/>
  <c r="K28" i="15"/>
  <c r="H28" i="15"/>
  <c r="F28" i="15"/>
  <c r="F18" i="2"/>
  <c r="D40" i="2"/>
  <c r="F9" i="4"/>
  <c r="H39" i="11"/>
  <c r="K39" i="11"/>
  <c r="F39" i="11"/>
  <c r="K8" i="8"/>
  <c r="D29" i="8"/>
  <c r="H29" i="8" s="1"/>
  <c r="F11" i="5"/>
  <c r="F43" i="5"/>
  <c r="F53" i="5"/>
  <c r="F54" i="5"/>
  <c r="F16" i="8"/>
  <c r="F32" i="5"/>
  <c r="F10" i="7"/>
  <c r="H10" i="7"/>
  <c r="H10" i="5"/>
  <c r="H18" i="8"/>
  <c r="F18" i="8"/>
  <c r="H41" i="3"/>
  <c r="H20" i="5"/>
  <c r="K16" i="2"/>
  <c r="K24" i="4"/>
  <c r="H15" i="4"/>
  <c r="K21" i="8"/>
  <c r="H21" i="8"/>
  <c r="K20" i="7"/>
  <c r="H20" i="7"/>
  <c r="K34" i="5"/>
  <c r="H47" i="5"/>
  <c r="K30" i="4"/>
  <c r="H30" i="4"/>
  <c r="K28" i="4"/>
  <c r="H28" i="4"/>
  <c r="F10" i="3"/>
  <c r="F9" i="3"/>
  <c r="S18" i="7"/>
  <c r="H17" i="7"/>
  <c r="H13" i="7"/>
  <c r="H34" i="5"/>
  <c r="H24" i="4"/>
  <c r="K41" i="3"/>
  <c r="K44" i="3"/>
  <c r="K33" i="3"/>
  <c r="H33" i="3"/>
  <c r="K31" i="3"/>
  <c r="K44" i="1"/>
  <c r="H44" i="1"/>
  <c r="F44" i="1"/>
  <c r="F38" i="1"/>
  <c r="H38" i="1"/>
  <c r="K38" i="1"/>
  <c r="H49" i="1"/>
  <c r="K49" i="1"/>
  <c r="F49" i="1"/>
  <c r="K37" i="1"/>
  <c r="H37" i="1"/>
  <c r="F37" i="1"/>
  <c r="K40" i="1"/>
  <c r="H40" i="1"/>
  <c r="F40" i="1"/>
  <c r="H51" i="1"/>
  <c r="K51" i="1"/>
  <c r="F51" i="1"/>
  <c r="F48" i="1"/>
  <c r="H48" i="1"/>
  <c r="K48" i="1"/>
  <c r="F36" i="1"/>
  <c r="K36" i="1"/>
  <c r="H36" i="1"/>
  <c r="H52" i="1"/>
  <c r="K52" i="1"/>
  <c r="F52" i="1"/>
  <c r="K50" i="1"/>
  <c r="F50" i="1"/>
  <c r="H50" i="1"/>
  <c r="H47" i="1"/>
  <c r="F47" i="1"/>
  <c r="K47" i="1"/>
  <c r="F35" i="1"/>
  <c r="H35" i="1"/>
  <c r="K35" i="1"/>
  <c r="F45" i="1"/>
  <c r="H45" i="1"/>
  <c r="K45" i="1"/>
  <c r="K34" i="1"/>
  <c r="H34" i="1"/>
  <c r="F34" i="1"/>
  <c r="F43" i="1"/>
  <c r="H43" i="1"/>
  <c r="K43" i="1"/>
  <c r="K9" i="1"/>
  <c r="F9" i="1"/>
  <c r="K39" i="1"/>
  <c r="F39" i="1"/>
  <c r="H39" i="1"/>
  <c r="F46" i="1"/>
  <c r="H46" i="1"/>
  <c r="K46" i="1"/>
  <c r="K10" i="7"/>
  <c r="F19" i="3"/>
  <c r="K19" i="3"/>
  <c r="F18" i="3"/>
  <c r="F15" i="3"/>
  <c r="F10" i="5"/>
  <c r="K13" i="3"/>
  <c r="H13" i="3"/>
  <c r="H13" i="2"/>
  <c r="K10" i="2"/>
  <c r="F30" i="5"/>
  <c r="H25" i="2"/>
  <c r="K14" i="3"/>
  <c r="H44" i="3"/>
  <c r="F29" i="3"/>
  <c r="K17" i="3"/>
  <c r="F11" i="7"/>
  <c r="K39" i="3"/>
  <c r="F32" i="3"/>
  <c r="H10" i="3"/>
  <c r="K28" i="3"/>
  <c r="H28" i="3"/>
  <c r="K45" i="3"/>
  <c r="K24" i="3"/>
  <c r="F22" i="3"/>
  <c r="K21" i="3"/>
  <c r="F20" i="3"/>
  <c r="K20" i="3"/>
  <c r="K25" i="2"/>
  <c r="H16" i="2"/>
  <c r="H30" i="2"/>
  <c r="H20" i="2"/>
  <c r="F11" i="8"/>
  <c r="F8" i="8"/>
  <c r="H8" i="8"/>
  <c r="F22" i="8"/>
  <c r="H35" i="5"/>
  <c r="F20" i="5"/>
  <c r="H14" i="5"/>
  <c r="H50" i="5"/>
  <c r="H11" i="5"/>
  <c r="H23" i="2"/>
  <c r="H10" i="2"/>
  <c r="K28" i="2"/>
  <c r="H33" i="2"/>
  <c r="H28" i="2"/>
  <c r="K32" i="2"/>
  <c r="H32" i="2"/>
  <c r="K20" i="2"/>
  <c r="H14" i="2"/>
  <c r="K52" i="5"/>
  <c r="F25" i="5"/>
  <c r="K8" i="6"/>
  <c r="H8" i="2"/>
  <c r="K8" i="2"/>
  <c r="K23" i="2"/>
  <c r="K18" i="2"/>
  <c r="K20" i="4"/>
  <c r="K12" i="4"/>
  <c r="H20" i="4"/>
  <c r="H12" i="4"/>
  <c r="K15" i="4"/>
  <c r="H22" i="2"/>
  <c r="H16" i="8"/>
  <c r="K16" i="8"/>
  <c r="K18" i="7"/>
  <c r="H18" i="7"/>
  <c r="K41" i="5"/>
  <c r="H41" i="5"/>
  <c r="K25" i="4"/>
  <c r="F40" i="3"/>
  <c r="K37" i="3"/>
  <c r="F36" i="3"/>
  <c r="K36" i="3"/>
  <c r="H29" i="2"/>
  <c r="K29" i="2"/>
  <c r="H9" i="1"/>
  <c r="K26" i="2"/>
  <c r="K42" i="3"/>
  <c r="F38" i="3"/>
  <c r="F30" i="3"/>
  <c r="K26" i="3"/>
  <c r="F23" i="3"/>
  <c r="F16" i="3"/>
  <c r="K11" i="3"/>
  <c r="H32" i="4"/>
  <c r="H27" i="4"/>
  <c r="H23" i="4"/>
  <c r="H19" i="4"/>
  <c r="H13" i="4"/>
  <c r="F49" i="5"/>
  <c r="H44" i="5"/>
  <c r="H38" i="5"/>
  <c r="K30" i="5"/>
  <c r="K25" i="5"/>
  <c r="F13" i="5"/>
  <c r="F21" i="7"/>
  <c r="F10" i="8"/>
  <c r="H26" i="2"/>
  <c r="K13" i="2"/>
  <c r="F32" i="4"/>
  <c r="F23" i="4"/>
  <c r="F13" i="4"/>
  <c r="F44" i="5"/>
  <c r="F38" i="5"/>
  <c r="H18" i="5"/>
  <c r="K17" i="7"/>
  <c r="K13" i="7"/>
  <c r="F13" i="8"/>
  <c r="K17" i="2"/>
  <c r="H25" i="4"/>
  <c r="H52" i="5"/>
  <c r="H17" i="2"/>
  <c r="H11" i="2"/>
  <c r="K25" i="6"/>
  <c r="F17" i="8"/>
  <c r="D51" i="3"/>
  <c r="H9" i="4"/>
  <c r="K54" i="5"/>
  <c r="Q21" i="7"/>
  <c r="K30" i="2"/>
  <c r="K22" i="2"/>
  <c r="H18" i="2"/>
  <c r="F43" i="3"/>
  <c r="K38" i="3"/>
  <c r="K30" i="3"/>
  <c r="F27" i="3"/>
  <c r="K23" i="3"/>
  <c r="K16" i="3"/>
  <c r="F12" i="3"/>
  <c r="K9" i="4"/>
  <c r="H54" i="5"/>
  <c r="K49" i="5"/>
  <c r="K13" i="5"/>
  <c r="K29" i="6"/>
  <c r="S21" i="7"/>
  <c r="K10" i="8"/>
  <c r="K27" i="4"/>
  <c r="K19" i="4"/>
  <c r="F14" i="7"/>
  <c r="F19" i="8"/>
  <c r="K22" i="8"/>
  <c r="K19" i="8"/>
  <c r="K17" i="8"/>
  <c r="K13" i="8"/>
  <c r="K11" i="8"/>
  <c r="K20" i="8"/>
  <c r="K14" i="8"/>
  <c r="K12" i="8"/>
  <c r="K9" i="8"/>
  <c r="H20" i="8"/>
  <c r="H14" i="8"/>
  <c r="H12" i="8"/>
  <c r="H9" i="8"/>
  <c r="K21" i="7"/>
  <c r="K19" i="7"/>
  <c r="K14" i="7"/>
  <c r="K11" i="7"/>
  <c r="H19" i="7"/>
  <c r="K15" i="7"/>
  <c r="K12" i="7"/>
  <c r="K9" i="7"/>
  <c r="H15" i="7"/>
  <c r="H12" i="7"/>
  <c r="F8" i="7"/>
  <c r="H8" i="7"/>
  <c r="Q20" i="7"/>
  <c r="K20" i="6"/>
  <c r="K16" i="6"/>
  <c r="K13" i="6"/>
  <c r="K11" i="6"/>
  <c r="H29" i="6"/>
  <c r="H25" i="6"/>
  <c r="H20" i="6"/>
  <c r="H16" i="6"/>
  <c r="H13" i="6"/>
  <c r="H11" i="6"/>
  <c r="K31" i="6"/>
  <c r="K28" i="6"/>
  <c r="K26" i="6"/>
  <c r="K24" i="6"/>
  <c r="K22" i="6"/>
  <c r="K19" i="6"/>
  <c r="K15" i="6"/>
  <c r="K12" i="6"/>
  <c r="K10" i="6"/>
  <c r="H31" i="6"/>
  <c r="H28" i="6"/>
  <c r="H26" i="6"/>
  <c r="H24" i="6"/>
  <c r="H22" i="6"/>
  <c r="H19" i="6"/>
  <c r="H15" i="6"/>
  <c r="H12" i="6"/>
  <c r="H10" i="6"/>
  <c r="K30" i="6"/>
  <c r="K27" i="6"/>
  <c r="K23" i="6"/>
  <c r="K21" i="6"/>
  <c r="K17" i="6"/>
  <c r="K14" i="6"/>
  <c r="K9" i="6"/>
  <c r="H30" i="6"/>
  <c r="H27" i="6"/>
  <c r="H23" i="6"/>
  <c r="H21" i="6"/>
  <c r="H17" i="6"/>
  <c r="H14" i="6"/>
  <c r="H9" i="6"/>
  <c r="F8" i="6"/>
  <c r="K53" i="5"/>
  <c r="K50" i="5"/>
  <c r="K47" i="5"/>
  <c r="K45" i="5"/>
  <c r="K39" i="5"/>
  <c r="K35" i="5"/>
  <c r="K31" i="5"/>
  <c r="K28" i="5"/>
  <c r="K26" i="5"/>
  <c r="K21" i="5"/>
  <c r="K18" i="5"/>
  <c r="K14" i="5"/>
  <c r="K11" i="5"/>
  <c r="H53" i="5"/>
  <c r="H45" i="5"/>
  <c r="H42" i="5"/>
  <c r="H39" i="5"/>
  <c r="H31" i="5"/>
  <c r="H28" i="5"/>
  <c r="H26" i="5"/>
  <c r="H21" i="5"/>
  <c r="K51" i="5"/>
  <c r="K48" i="5"/>
  <c r="K46" i="5"/>
  <c r="K43" i="5"/>
  <c r="K40" i="5"/>
  <c r="K37" i="5"/>
  <c r="K32" i="5"/>
  <c r="K29" i="5"/>
  <c r="K27" i="5"/>
  <c r="K24" i="5"/>
  <c r="K22" i="5"/>
  <c r="K19" i="5"/>
  <c r="K15" i="5"/>
  <c r="K12" i="5"/>
  <c r="K9" i="5"/>
  <c r="H51" i="5"/>
  <c r="H48" i="5"/>
  <c r="H46" i="5"/>
  <c r="H43" i="5"/>
  <c r="H40" i="5"/>
  <c r="H37" i="5"/>
  <c r="H32" i="5"/>
  <c r="H29" i="5"/>
  <c r="H27" i="5"/>
  <c r="H24" i="5"/>
  <c r="H22" i="5"/>
  <c r="H19" i="5"/>
  <c r="H15" i="5"/>
  <c r="H12" i="5"/>
  <c r="H9" i="5"/>
  <c r="F8" i="5"/>
  <c r="H8" i="5"/>
  <c r="K29" i="4"/>
  <c r="K26" i="4"/>
  <c r="K18" i="4"/>
  <c r="H29" i="4"/>
  <c r="H26" i="4"/>
  <c r="H18" i="4"/>
  <c r="H45" i="3"/>
  <c r="H42" i="3"/>
  <c r="H37" i="3"/>
  <c r="H31" i="3"/>
  <c r="H26" i="3"/>
  <c r="H24" i="3"/>
  <c r="H21" i="3"/>
  <c r="H17" i="3"/>
  <c r="H14" i="3"/>
  <c r="H11" i="3"/>
  <c r="H39" i="3"/>
  <c r="K43" i="3"/>
  <c r="K40" i="3"/>
  <c r="K32" i="3"/>
  <c r="K29" i="3"/>
  <c r="K27" i="3"/>
  <c r="K22" i="3"/>
  <c r="K18" i="3"/>
  <c r="K15" i="3"/>
  <c r="K12" i="3"/>
  <c r="K9" i="3"/>
  <c r="F8" i="3"/>
  <c r="H8" i="3"/>
  <c r="K33" i="2"/>
  <c r="K14" i="2"/>
  <c r="K11" i="2"/>
  <c r="K31" i="2"/>
  <c r="K27" i="2"/>
  <c r="K24" i="2"/>
  <c r="K15" i="2"/>
  <c r="K12" i="2"/>
  <c r="K9" i="2"/>
  <c r="H31" i="2"/>
  <c r="H27" i="2"/>
  <c r="H24" i="2"/>
  <c r="H15" i="2"/>
  <c r="H12" i="2"/>
  <c r="H9" i="2"/>
  <c r="H51" i="3" l="1"/>
  <c r="F51" i="3"/>
  <c r="H32" i="6"/>
  <c r="F40" i="2"/>
  <c r="K40" i="2"/>
  <c r="H40" i="2"/>
  <c r="F29" i="8"/>
  <c r="K29" i="8"/>
  <c r="K24" i="7"/>
  <c r="H24" i="7"/>
  <c r="K51" i="3"/>
  <c r="K32" i="6"/>
  <c r="D11" i="1" l="1"/>
  <c r="D12" i="1"/>
  <c r="D13" i="1"/>
  <c r="D14" i="1"/>
  <c r="D15" i="1"/>
  <c r="D20" i="1"/>
  <c r="D21" i="1"/>
  <c r="D23" i="1"/>
  <c r="D24" i="1"/>
  <c r="D25" i="1"/>
  <c r="D26" i="1"/>
  <c r="D27" i="1"/>
  <c r="D28" i="1"/>
  <c r="D29" i="1"/>
  <c r="D30" i="1"/>
  <c r="D31" i="1"/>
  <c r="D32" i="1"/>
  <c r="D33" i="1"/>
  <c r="D55" i="1" l="1"/>
  <c r="F21" i="1"/>
  <c r="H21" i="1"/>
  <c r="K21" i="1"/>
  <c r="F29" i="1"/>
  <c r="H29" i="1"/>
  <c r="K29" i="1"/>
  <c r="F20" i="1"/>
  <c r="K20" i="1"/>
  <c r="H20" i="1"/>
  <c r="H19" i="1"/>
  <c r="F19" i="1"/>
  <c r="K19" i="1"/>
  <c r="H18" i="1"/>
  <c r="K18" i="1"/>
  <c r="F18" i="1"/>
  <c r="F27" i="1"/>
  <c r="H27" i="1"/>
  <c r="K27" i="1"/>
  <c r="K33" i="1"/>
  <c r="H33" i="1"/>
  <c r="F33" i="1"/>
  <c r="H26" i="1"/>
  <c r="K26" i="1"/>
  <c r="F26" i="1"/>
  <c r="H32" i="1"/>
  <c r="K32" i="1"/>
  <c r="F32" i="1"/>
  <c r="F13" i="1"/>
  <c r="K13" i="1"/>
  <c r="H13" i="1"/>
  <c r="F24" i="1"/>
  <c r="H24" i="1"/>
  <c r="K24" i="1"/>
  <c r="F30" i="1"/>
  <c r="H30" i="1"/>
  <c r="K30" i="1"/>
  <c r="H11" i="1"/>
  <c r="K11" i="1"/>
  <c r="F11" i="1"/>
  <c r="K28" i="1"/>
  <c r="H28" i="1"/>
  <c r="F28" i="1"/>
  <c r="F15" i="1"/>
  <c r="H15" i="1"/>
  <c r="K15" i="1"/>
  <c r="H14" i="1"/>
  <c r="K14" i="1"/>
  <c r="F14" i="1"/>
  <c r="K25" i="1"/>
  <c r="F25" i="1"/>
  <c r="H25" i="1"/>
  <c r="K31" i="1"/>
  <c r="F31" i="1"/>
  <c r="H31" i="1"/>
  <c r="K12" i="1"/>
  <c r="F12" i="1"/>
  <c r="H12" i="1"/>
  <c r="H23" i="1"/>
  <c r="K23" i="1"/>
  <c r="F23" i="1"/>
  <c r="K22" i="1"/>
  <c r="F22" i="1"/>
  <c r="H22" i="1"/>
  <c r="K10" i="1"/>
  <c r="F10" i="1"/>
  <c r="H10" i="1"/>
  <c r="H55" i="1" l="1"/>
  <c r="K55" i="1"/>
  <c r="F55" i="1"/>
  <c r="E42" i="13" l="1"/>
  <c r="K11" i="14" l="1"/>
  <c r="H11" i="14"/>
  <c r="F11" i="14"/>
  <c r="D33" i="9"/>
  <c r="F33" i="9" l="1"/>
  <c r="D45" i="9"/>
  <c r="K42" i="13"/>
  <c r="H42" i="13"/>
  <c r="F42" i="13"/>
  <c r="H33" i="9"/>
  <c r="K33" i="9"/>
  <c r="H16" i="1"/>
  <c r="K16" i="1"/>
  <c r="H45" i="9" l="1"/>
  <c r="F45" i="9"/>
  <c r="K45" i="9"/>
  <c r="F16" i="1"/>
  <c r="K17" i="1"/>
  <c r="H17" i="1"/>
  <c r="F17" i="1" l="1"/>
  <c r="D14" i="4"/>
  <c r="D34" i="4" s="1"/>
  <c r="K14" i="4" l="1"/>
  <c r="K34" i="4"/>
  <c r="H34" i="4"/>
  <c r="F14" i="4"/>
  <c r="H14" i="4"/>
  <c r="F34" i="4"/>
  <c r="D15" i="12"/>
  <c r="K15" i="12" l="1"/>
  <c r="H15" i="12"/>
  <c r="F15" i="12"/>
  <c r="D16" i="12"/>
  <c r="H16" i="12" s="1"/>
  <c r="D36" i="12" l="1"/>
  <c r="K16" i="12"/>
  <c r="F16" i="12"/>
  <c r="D17" i="5"/>
  <c r="K36" i="12" l="1"/>
  <c r="H36" i="12"/>
  <c r="F36" i="12"/>
  <c r="F17" i="5"/>
  <c r="K17" i="5"/>
  <c r="H17" i="5"/>
  <c r="D16" i="5"/>
  <c r="H16" i="5" l="1"/>
  <c r="D63" i="5"/>
  <c r="F16" i="5"/>
  <c r="K16" i="5"/>
  <c r="F63" i="5" l="1"/>
  <c r="H63" i="5"/>
  <c r="K6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tc={ACCFDBDD-92C1-4F33-8F72-A8D27E048046}</author>
  </authors>
  <commentList>
    <comment ref="D5" authorId="0" shapeId="0" xr:uid="{ACCFDBDD-92C1-4F33-8F72-A8D27E048046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Usunać ale sobie skopiować dla pamieci żeby jak się skończy i dostaniemy decyzje środowiskową żeby dopisać do tego</t>
        </r>
      </text>
    </comment>
  </commentList>
</comments>
</file>

<file path=xl/sharedStrings.xml><?xml version="1.0" encoding="utf-8"?>
<sst xmlns="http://schemas.openxmlformats.org/spreadsheetml/2006/main" count="1365" uniqueCount="522">
  <si>
    <t>Lp.</t>
  </si>
  <si>
    <t>ROK REALIZACJI</t>
  </si>
  <si>
    <t>NAZWA ZADANIA</t>
  </si>
  <si>
    <t>CAŁKOWITY KOSZT ZADANIA</t>
  </si>
  <si>
    <t>z tego źródła finansowania</t>
  </si>
  <si>
    <t>Inwestor</t>
  </si>
  <si>
    <t>POWIAT BIAŁOSTOCKI</t>
  </si>
  <si>
    <t>GMINA</t>
  </si>
  <si>
    <t>ŚRODKI ZEWNĘTRZNE</t>
  </si>
  <si>
    <t>Kwota</t>
  </si>
  <si>
    <t>Udział procentowy</t>
  </si>
  <si>
    <t>Program wsparcia dróg lokalnych</t>
  </si>
  <si>
    <t>INNE</t>
  </si>
  <si>
    <t>Budowa brakujących zjazdów przez ścieżkę rowerową, realizowaną wzdłuż drogi powiatowej Nr 1535B przez Urząd Marszałkowski Województwa Podlaskiego</t>
  </si>
  <si>
    <t>Powiat Białostocki</t>
  </si>
  <si>
    <t>Przebudowa drogi powiatowej Nr 1547B na odcinku Mińce - granica Gminy Choroszcz</t>
  </si>
  <si>
    <t>Przebudowa skrzyżowania dróg powiatowych Nr 1549B i Nr 1550B oraz drogi gminnej Nr 6266B w m. Klepacze</t>
  </si>
  <si>
    <t>Przebudowa drogi powiatowej Nr 1549B na odcinku Klepacze - Turczyn</t>
  </si>
  <si>
    <t>Przebudowa drogi powiatowej Nr 1536B na odcinku od drogi Nr 1535B do m. Kruszewo</t>
  </si>
  <si>
    <t>Przebudowa Alei Niepodległości położonej w ciągu drogi powiatowej Nr 1552B w miejscowości Choroszcz - budowa wyniesionego przejscia dla pieszych na wysokości działki nr 100/26</t>
  </si>
  <si>
    <t>Opracowanie dokumentacji projektowej "Przebudowa z rozbudową drogi powiatowej Nr 2287B - ulica Mickiewicza w Choroszczy"</t>
  </si>
  <si>
    <t>Opracowanie dokumentacji projektowej "Przebudowa drogi powiatowej Nr 1552B - ulica Dominikańska w Choroszczy"</t>
  </si>
  <si>
    <t>Opracowanie dokumentacji projektowej "Przebudowa drogi powiatowej Nr 1535B Białystok - Kruszewo (na odcinku od skrzyżowania z drogą powiatową Nr 1538B do granic administracyjnych m. Choroszcz)"</t>
  </si>
  <si>
    <t>Opracowanie dokumentacji projektowej "Budowa drogi powiatowej Nr 1549B w miejscowości Oliszki"</t>
  </si>
  <si>
    <t>Remont chodnika w ciagu drogi powiatowej Nr 1550B ul. Nieowdnicka w Klepaczach</t>
  </si>
  <si>
    <t>Przebudowa z rozbudową drogi powiatowej Nr 1543B Czaplino - Niewodnica Kościelna - na odcinku przejścia przez miejscowość Czaplino</t>
  </si>
  <si>
    <t>Budowa chodnika przy drodze powiatowej Nr 1552B na odcinku od skrzyżowania z drogą powiatową Nr 1538B do ul. Kolonia Gaj</t>
  </si>
  <si>
    <t>Opracowanie dokumentacji projektowej na: "Przebudowę z rozbudową drogi powiatowej Nr 1541B Zaczerlany - Gajowniki Kolonia i odcinka drogi powiatowej Nr 1542B droga przez wieś Gajowniki wraz z przebudową mostu na rzece Czaplinianka w miejscowości Gajowniki"</t>
  </si>
  <si>
    <t>Opracowanie dokumentacji projektowej na: "Przebudowę z rozbudową drogi powiatowej Nr 1537B - przejście przez miejscowość Konowały i miejscowość Izbiszcze"</t>
  </si>
  <si>
    <t>Przebudowa z rozbudowa drogi powiatowej Nr 1543B Czaplino - Niewodnica Kościelna - Etap II</t>
  </si>
  <si>
    <t>Budowa chodnika w m. Klepacze ul. Kolejowa</t>
  </si>
  <si>
    <t>Opracowanie dokumentacji projektowej na: "Przebudowa z rozbudową drogi powiatowej Nr 1536B - przejście przez wieś Kruszewo"</t>
  </si>
  <si>
    <t>Aktualizacja Dokumentacji projektowej na: Budowa drogi powiatowej Nr 1551B: droga 8 - Porosły - Krupniki</t>
  </si>
  <si>
    <t>Opracowanie dokumentacji projektowej na: Przebudowa z rozbudową drogi powiatowej Nr 1537B - przejście przez wieś Konowały</t>
  </si>
  <si>
    <t>Suma:</t>
  </si>
  <si>
    <t>-</t>
  </si>
  <si>
    <t>Budowa parkingu w ciągu drogi powiatowej Nr 2300B: ul. Torowa w Czarnej Białostockiej, na wysokości działki nr ew. geod. 1117/1</t>
  </si>
  <si>
    <t>Budowa drogi powiatowej Nr 1422B: droga 19 - Złota Wieś - Podratowiec na odcinku od km 1+251,80 do km 1+500</t>
  </si>
  <si>
    <t>Budowa zatoki autobusowej w pasie drogowym drogi powiatowej Nr 2299B: ul. Piłsudskiego w m. Czarna Białostocka wraz z dokumentacją</t>
  </si>
  <si>
    <t>Opracowanie dokumentacji projektowej na "Przebudowę odcinka drogi powiatowej Nr 2302B - ul. Sienkiewicza w Czarnej Białostockiej (na wysokości budynku nr 5)"</t>
  </si>
  <si>
    <t>Przebudowa drogi powiatowej Nr 2302B polegająca na rozbudowie istniejącego parkingu na wysokości posesji nr 5 przy ul. Sienkiewicza w Czarnej Białostockiej</t>
  </si>
  <si>
    <t>Przebudowa drogi powiatowej Nr 1421B: dr. krajowa Nr 19 - Ruda Rzeczka - Wólka Ratowiecka - Klimki - Czarna Wieś Kościelna - II etap</t>
  </si>
  <si>
    <t>Opracowanie dokumentacji projektowej na "Budowa ciągu pieszo - rowerowego w ciągu drogi powiatowej Nr 1420B na odcinku ul. Świerkowej w Czarnej Białostockiej"</t>
  </si>
  <si>
    <t>Opracowanie dokumentacji projektowej na "Rozbudowa drogi powiatowej Nr 2301B: ul. Kościelna w Czarnej Białostockiej"</t>
  </si>
  <si>
    <t>Opracowanie dokumentacji projektowej na "Rozbudowa dróg powiatowych Nr 2300B - ul. Torowa, Nr 2302B - ul. Sienkiewicza i Nr 2303B - ul. Fabryczna w Czarnej Białostockiej"</t>
  </si>
  <si>
    <t>Przebudowa drogi powiatowej Nr 2302B polegająca na budowie parkingu na wysokości posesji nr 1 przy ul. Sienkiewicza w Czarnej Białostockiej</t>
  </si>
  <si>
    <t>Opracowanie dokumentacji projektowej na "Przebudowa z rozbudową drogi powiatowej Nr 1422B w m. Wólka Ratowiecka"</t>
  </si>
  <si>
    <t>Opracowanie dokumentacji projektowej na "Przebudowa z rozbudową drogi powiatowej Nr 1424B Karczmisko - Czarna Wieś Kościelna"</t>
  </si>
  <si>
    <t>Rozbudowa dróg powiatowych Nr 1392B i 1393B w m. Dobrzyniewo Fabryczne</t>
  </si>
  <si>
    <t>Dokumentacja projektowa na Przebudowę z rozbudową drogi powiatowej Nr 1393B na odcinku Dobrzyniewo Duże - Ogrodniki</t>
  </si>
  <si>
    <t>Dokumentacja projektowa na  Rozbudowa drogi powiatowej Nr 1392B w m. Obrubniki polegającej na budowie chodnika na odcinku od szkoły podstawowej w kierunku drogi powiatowej Nr 1396B</t>
  </si>
  <si>
    <t>Przebudowa z rozbudową drogi powiatowej Nr 1389B w m. Jaworówka</t>
  </si>
  <si>
    <t>Rozbudowa drogi powiatowej Nr 1392B w m. Obrubniki polegająca na budowie chodnika na odcinku od szkoły podstawowej w kierunku drogi powiatowej Nr 1396B</t>
  </si>
  <si>
    <t>Wzmocnienie nawierzchni drogi powiatowej Nr 1392B poprzez wykonanie warstwy ścieralnej z betonu asfaltowego na odcinku Nowe Aleksandrowo - Letniki</t>
  </si>
  <si>
    <t>Przebudowa drogi powiatowej Nr 1385B w m. Gniła</t>
  </si>
  <si>
    <t>Wzmocnienie nawierzchni drogi powiatowej Nr 1392B poprzez wykonanie warstwy ścieralnej z betonu asfaltowego na odcinku Letniki - Ponikła</t>
  </si>
  <si>
    <t>Dokumentacja projektowa na zadanie "Przebudowa z rozbudową drogi powiatowej Nr 1385B na odcinku Gniła - Dobrzyniewo Duze (szkoła)"</t>
  </si>
  <si>
    <t>Dokumentacja projektowa na zadanie "Przebudowa z rozbudową drogi powiatowej Nr 1385B w m. Pogorzałki"</t>
  </si>
  <si>
    <t>Dokumentacja projektowa na zadanie "Przebudowa drogi powiatowej Nr 1397B na odcinku Kopisk - droga krajowa Nr 8"</t>
  </si>
  <si>
    <t>Przebudowa drogi powiatowej Nr 1397B na odcinku Kopisk - droga krajowa Nr 8</t>
  </si>
  <si>
    <t>Przebudowa z rozbudową drogi powiatowej Nr 1385B w miejscowości Pogorzałki</t>
  </si>
  <si>
    <t>Przebudowa drogi powiatowej Nr 1397B w m. Chraboły polegająca na budowie jednostronnego chodnika</t>
  </si>
  <si>
    <t>Przebudowa drogi powiatowej Nr 1385B w m. Gniła - kontynuacja robót</t>
  </si>
  <si>
    <t>Opracowanie dokumentacji projektowej na: Rozbudowę drogi powiatowej Nr 1393B polegającą na budowie jednostronnego chodnika w m. Leńce</t>
  </si>
  <si>
    <t>Usprawnienie odwodnienia w miejscowości Kołodno w ciągu drogi powiatowej Nr 1433B</t>
  </si>
  <si>
    <t>Przebudowa drogi powiatowej Nr 1437B - przejście przez m. Załuki</t>
  </si>
  <si>
    <t>Przebudowa drogi powiatowej Nr 1287B Bobrowniki - Chomontowce</t>
  </si>
  <si>
    <t>Opracowanie dokumentacji projektowej na "Rozbudowa drogi powiatowej Nr 1440B na odcinku ulicy Polnej w Gródku"</t>
  </si>
  <si>
    <t>Opracowanie dokumentacji projektowej na "Rozbudowa drogi powiatowej Nr 1282B Krynki - Kruszyniany - Łużany - Bobrowniki na odcinku granica powiatu - Łużany - Bobrowniki"</t>
  </si>
  <si>
    <t>Przebudowa drogi powiatowej Nr 1440B polegająca na budowie chodnika na odcinku od ul. Dworcowej w Waliłach-Stacji do przejazdu kolejowego</t>
  </si>
  <si>
    <t>Przebudowa drogi powiatowej Nr 1287B Bobrowniki - Chomontowce - kontynuacja robót</t>
  </si>
  <si>
    <t>Wzmocnienie nawierzchni drogi powiatowej Nr 1436B w m. Radunin poprzez powierzchniowe utrwalenie emulsją i grysami</t>
  </si>
  <si>
    <t>Cross-border Network for Sustainable Transport Governance (dot. Przebudowy z rozbudową drogi powiatowej Nr 1282B Krynki - Kruszyniany - Lużany - Bobrowniki na odcinku granica powiatu - Łużany - Bobrowniki)</t>
  </si>
  <si>
    <t>Przebudowa drogi powiatowej Nr 1497B od wsi Juchnowiec Kościelny do końca wsi Ogrodniczki</t>
  </si>
  <si>
    <t>Projekt zamienny na Przebudowę z rozbudową drogi powiatowej Nr 1484B: granica miasta Białystok - Stanisławowo - Wojszki, od km 0+000 do km 3+200</t>
  </si>
  <si>
    <t>Przebudowa z rozbudową odcinków dróg powiatowych Nr 1492B i Nr 1493B w m. Olmonty</t>
  </si>
  <si>
    <t>Przebudowa z rozbudową drogi powiatowej Nr 1514B na odcinku Baranki - Zimnochy</t>
  </si>
  <si>
    <t>Przebudowa z rozbudową odcinka drogi powiatowej w miejscowości Olmonty (od końca nawierzchni bitumicznej w miejscowości Olmonty do nawierzchni bitumicznej na drodze gminnej Nr 106834B w miejscowości Stanisławowo</t>
  </si>
  <si>
    <t>Opracowanie dokumentacji projektowej na "Budowa ścieżki rowerowej wzdłuż drogi powiatowej Nr 1483B na odcinku granica miasta Białystok - Juchnowiec Kościelny"</t>
  </si>
  <si>
    <t>Opracowanie dokumentacji projektowej na "Budowa ścieżki rowerowej wzdłuż drogi powiatowej Nr 1483B na odcinku Juchnowiec Kościelny - Wólka"</t>
  </si>
  <si>
    <t>Opracowanie dokumentacji projektowej na "Przebudowa drogi powiatowej Nr 1512B na odcinku od drogi powiatowej Nr 1484B do wsi Zajączki"</t>
  </si>
  <si>
    <t>Opracowanie dokumentacji projektowej na "Przebudowa z rozbudową drogi powiatowej Nr 1503B Juchnowiec Dolny - Hołówki Małe - Hołówki Duże - wraz z przebudową mostu na rzece Turośnianka"</t>
  </si>
  <si>
    <t>Opracowanie dokumentacji projektowej na "Budowa ścieżki rowerowej wzdłuż drogi powiatowej Nr 1483B na odcinku Wólka - Biele"</t>
  </si>
  <si>
    <t>Opracowanie dokumentacji projektowej na "Przebudowa z rozbudową drogi powiatowej Nr 1494B w m. Niewodnica Nargilewska"</t>
  </si>
  <si>
    <t>Przebudowa wraz z rozbudową drogi powiatowej Nr 1483B Białystok - Juchnowiec Kościelny - Tryczówka - Wojszki - do dr. 19 Etap III</t>
  </si>
  <si>
    <t>Przebudowa z rozbudową mostu przez rz. Niewodnica wraz z dojazdami w m. Lewickie</t>
  </si>
  <si>
    <t>Opracowanie dokumentacji projektowej na: "Przebudowę drogi powiatowej Nr 1549B Horodniany - Turczyn"</t>
  </si>
  <si>
    <t>Naprawa nawierzchni odcinka drogi powiatowej Nr 1502B w miejscowości Juchnowiec Dolny - Etap III</t>
  </si>
  <si>
    <t>Przebudowa z rozbudową mostu przez rz. Horodnianka wraz z dojazdami w m. Hryniewicze w ciągu drogi powiatowej Nr 1483B</t>
  </si>
  <si>
    <t>Opracowanie dokumentacji projektowej na: "Przebudowę drogi powiatowej Nr 1492B Hryniewicze - Olmonty"</t>
  </si>
  <si>
    <t>Przebudowa z rozbudową drogi powiatowej Nr 1549B Horodniany - Turczyn</t>
  </si>
  <si>
    <t>Przebudowa z rozbudową drogi powiatowej Nr 1503B na odcinku Hołówki Duże - Hołówki Małe</t>
  </si>
  <si>
    <t>Przebudowa drogi powiatowej Nr 2352B ul. Żwirki i Wigury w Łapach, polegająca na budowie chodnika, parkingów i zjazdów na odcinku od skrzyżowania z ul. 3-go Maja do końca cmentarza</t>
  </si>
  <si>
    <t>Przebudowa z rozbudową mostu przez rz. Szeroka Struga wraz z dojazdami w m. Łapy Pluśniaki</t>
  </si>
  <si>
    <t>Opracowanie dokumentacji projektowej na "Przebudowa drogi powiatowej od skrzyżowania z ul. Sikorskiego do Łap Osse - ul. Sokołowskiej - Gąsówka Skwarki - Gąsówka Somachy i drogi powiatowej Płonka Matyski - Płonka Kościelna do drogi wojewódzkiej"</t>
  </si>
  <si>
    <t>Przebudowa drogi powiatowej Nr 1521B na odcinku ul. 3 Maja do skrzyżowania z ulicą Żwirki i Wigury w Łapach - przebudowa chodników</t>
  </si>
  <si>
    <t>Przebudowa z rozbudową drogi powiatowej Nr 1527B w m. Gąsówka - Skwarki</t>
  </si>
  <si>
    <t>Przebudowa skrzyżowania drogi powiatowej Nr 1527B w m. Gąsówka Osse z drogą gminną Nr 106550B Gąsówka Osse - Płonka Kościelna</t>
  </si>
  <si>
    <t>Opracowanie dokumentacji projektowej na "Przebudowa z rozbudową drogi powiatowej Nr 1448B na odcinku Kuchmy - granica Gminy Michałowo"</t>
  </si>
  <si>
    <t>Przebudowa drogi powiatowej Nr 1448B na odcinku Kuchmy - granica Gminy Michałowo Etap I</t>
  </si>
  <si>
    <t>Przebudowa drogi powiatowej Nr 1453B na odcinku Nowa Łuplanka - Stara Łuplanka</t>
  </si>
  <si>
    <t>Przebudowa drogi powiatowej Nr 1448B na odcinku Kuchmy - granica Gminy Michałowo Etap II</t>
  </si>
  <si>
    <t>Przebudowa drogi powiatowej Nr 1563B Poświętne - Zdrody Stare</t>
  </si>
  <si>
    <t>Wzmocnienie nawierzchni drogi powiatowej Nr 1566B poprzez wykonanie nawierzchni ścieralnej z batonu asfaltowego na odcinku Brzozowo Korabie - Brzozowo Chabdy</t>
  </si>
  <si>
    <t>Wzmocnienie nawierzchni drogi powiatowej Nr 1566B poprzez wykonanie nawierzchni ścieralnej z betonu asfaltowego na odcinku Brzozowo Chabdy - Poświętne</t>
  </si>
  <si>
    <t>Opracowanie projektu budowlanego na: "Przebudowę z rozbudową drogi powiatowej Nr 1522B na odcinku Daniłowo Duże - droga Nr 681"</t>
  </si>
  <si>
    <t>Wzmocnienie nawierzchni drogi powiatowej Nr 1565B poprzez wykonanie warstwy ścieralnej z betonu asfaltowego na odcinku Gabrysin - Wilkowo</t>
  </si>
  <si>
    <t>Przebudowa z rozbudową drogi powiatowej Nr 1475B: dr 65 - Sobolewo - Henrykowo na odcinku Grabówka - Sobolewo</t>
  </si>
  <si>
    <t>Dokumentacja projektowa na Przebudowę z rozbudową drogi powiatowej Nr 2391B - ul. Nowa, od skrzyżowania z ul. Dolną do Alei Niepodległości i Aleja Niepodległości w Supraślu</t>
  </si>
  <si>
    <t>Dokumentacja projektowa na Przebudowę drogi powiatowej Nr 1429B Grabówka - Zielona - Ciasne - Ogrodniczki, przejście przez Ogrodniczki od km rob. 0+442 do skrzyżowania z ul. Polną</t>
  </si>
  <si>
    <t>Dokumentacja projektowa na Przebudowę drogi powiatowej Nr 1429B na odcinku ul. Białostockiej w Grabówce od km 0+000 do km 0+280</t>
  </si>
  <si>
    <t>Przebudowa drogi powiatowej Nr 1429B na odcinku ul. Białostockiej w Grabówce od km 0+000 do km 0+280</t>
  </si>
  <si>
    <t>Przebudowa nawierzchni chodnika i zjazdów na ul. Dolnej w Supraślu - kontynuacja robót</t>
  </si>
  <si>
    <t>Remont nawierzchni w ciągu drogi powiatowej Nr 1430B na odcinku Sowlany - Karakule</t>
  </si>
  <si>
    <t>Przebudowa odcinka drogi powiatowej Nr 1429B w m. Ogrodniczki</t>
  </si>
  <si>
    <t>Przebudowa z rozbudową drogi powiatowej Nr 2391B - ul. Nowa, od skrzyżowania z ul. Dolną do Al. Niepodległości i Al. Niepodległości w Supraślu - Etap I</t>
  </si>
  <si>
    <t>Opacowanie dokumentacji projektowej na "Przebudowa drogi powiatowej Nr 2391B na odcinku ul. Nowej w Supraślu, od ul. Dolnej"</t>
  </si>
  <si>
    <t>Budowa z rozbudową drogi powiatowej Nr 1430B na odcinku od drogi powiatowej Nr 1431B (ul. 42 Pułku Piechoty) do miejscowości Sowlany wraz z opracowaniem dokumentacji projektowej - w tym budowa ciągu pieszo - rowerowego - Etap I</t>
  </si>
  <si>
    <t>Opacowanie dokumentacji projektowej na "Rozbudowa skrzyżowania dróg powiatowych Nr 2389B (ul. Piłsudskiego) i Nr 2391B (ul. Nowa, Al.. Niepodległości) z drogami gminnymi w Supraślu"</t>
  </si>
  <si>
    <t>Przebudowa z rozbudową drogi powiatowej Nr 2391B - ul. Nowa, od skrzyżowania z ul. Dolną do Al. Niepodległości i Al. Niepodległości w Supraślu - Etap II</t>
  </si>
  <si>
    <t>Przebudowa drogi powiatowej Nr 1475B na odcinku Sobolewo - Henrykowo</t>
  </si>
  <si>
    <t>Opracowanie dokumentacji projektowej na: "Rozbudowa drogi powiatowej Nr 1429B na odcinku Ciasne - Ogrodniczki"</t>
  </si>
  <si>
    <t>Aktualizacja dokumentacji projektowej: "Budowa z rozbudową drogi powiatowej Nr 1430B na odcinku od drogi powiatowej Nr 1431B (ul. 42 Pułku Piechoty) do miejscowości Sowlany"</t>
  </si>
  <si>
    <t>Opracowanie dokumentacji projektowej na: "Budowa ścieżki rowerowej drogi powiatowej Nr 1430B na odcinku Sowlany - Karakule"</t>
  </si>
  <si>
    <t>Przebudowa z rozbudową drogi powiatowej Nr 1509B Zawyki - Zawyki Ferma</t>
  </si>
  <si>
    <t>Przebudowa z rozbudową drogi powiatowej Nr 1509B Zawyki - Zawyki Ferma - kontynuacja robót</t>
  </si>
  <si>
    <t>Remont kapitalny odcinku drogi powiatowej Nr 1505B Czaczki Wielkie - Rynki - Średzińskie - Zawyki - kontynuacja robót</t>
  </si>
  <si>
    <t>Remont kapitalny odcinka drogi powiatowej Nr 1505B Czaczki - Wielkie - Rynki - Średzińskie - Zawyki - kontynuacja robót - ułożenie chodnika w miejscowości Rynki</t>
  </si>
  <si>
    <t>Wzmocnienie nawierzchni drogi powiatowej Nr 1507B poprzez wykonanie warstwy ścieralnej z betonu asfaltowego w miejscowości Lesznia</t>
  </si>
  <si>
    <t>Dokumentacja projektowa na zadanie "Przebudowa z rozbudową drogi powiatowej Nr 1509B Zawyki - Zawyki Ferma na odcinku od km 0+510,5 do końca drogi powiatowej"</t>
  </si>
  <si>
    <t>Dokumentacja projektowa na zadanie "Przebudowa z rozbudową drogi powiatowej Nr 1488B Zabłudów - Biele - Suraz na odcinku ul. Zabłudowskiej w Surażu"</t>
  </si>
  <si>
    <t>Przebudowa drogi powiatowej Nr 1488B na odcinku Chodory - Dołki i Przebudowa z rozbudową drogi powiatowej Nr 1506B - przejście przez Chodory</t>
  </si>
  <si>
    <t>Budowa chodnika w miejscowości Iwanówka w ciagu drogi powiatowej Nr 1504B</t>
  </si>
  <si>
    <t>Opracowanie dokumentacji projektowej "Przebudowa drogi powiatowej Nr 1543B (Czaplino - Niewodnica Kościelna - Topole - Markowszczyzna) na odcinku od cmentarza do granicy z Gminą Choroszcz"</t>
  </si>
  <si>
    <t>Opracowanie dokumentacji projektowej "Przebudowa drogi powiatowej Nr 1543B na odcinku od ul. Trakt Napoleoński w Niewodnicy Kościelnej do skrzyżowania z drogą wojewódzką Nr 678"</t>
  </si>
  <si>
    <t>Budowa drogi powiatowej Nr 1532B Bojary - przystanek kolejowy Bojary Etap I</t>
  </si>
  <si>
    <t>Przebudowa drogi powiatowej Nr 1543B na odcinku od ul. Trakt Napoleoński w Niewodnicy Kościelnej do skrzyżowania z drogą wojewódzką Nr 678</t>
  </si>
  <si>
    <t>Przebudowa drogi powiatowej Nr 1547B na odcinku granica Gminy Turośń Kościelna do skrzyżowania z drogą gminną do m. Zawady</t>
  </si>
  <si>
    <t>Wymiana nawierzchni na moście przez rz. Niewodnica w ciągu drogi powiatowej Nr 1543B, w km 12+815 w m. Niewodnica Kościelna ul. Topole</t>
  </si>
  <si>
    <t>Przebudowa z rozbudową drogi powiatowej Nr 1543B na odcinku od cmentarza do ul. Łąkowej w Niewodnicy Kościelnej</t>
  </si>
  <si>
    <t>Remont kapitalny odcinka drogi powiatowej Nr 1500B Księżyno - Pomigacze - Juraszki - ułożenie chodnika w miejscowości Pomigacze</t>
  </si>
  <si>
    <t>Dokumentacja projektowa na zadanie "Przebudowa z rozbudową drogi powiatowej Nr 1543B w m. Niewodnica Kościelna na odcinku od ul. Dąbrowskiego do ul. Trakt Napoleoński"</t>
  </si>
  <si>
    <t>Przebudowa z rozbudową drogi powiatowej Nr 1543B, od cmentarza w kierunku granicy z gminą Choroszcz - Etap I</t>
  </si>
  <si>
    <t>Opracowanie dokumentacji projektowej na: "Przebudowę z rozbudową drogi powiatowej Nr 1555B przez wieś Dołki"</t>
  </si>
  <si>
    <t>Opracowanie dokumentacji projektowej na: "Przebudowę z rozbudową drogi powiatowej Nr 1501B - Etap II"</t>
  </si>
  <si>
    <t>Przebudowa drogi powiatowej Nr 1501B (droga do Zalesian), Etap I - roboty przygotowawcze i podbudowa</t>
  </si>
  <si>
    <t>Budowa chodnika w ciągu drogi powiatowej Nr 1377B w m. Nieciece</t>
  </si>
  <si>
    <t>Dokumentacja projektowa na Przebudowę z rozbudową drogi powiatowej Nr 1380B Tykocin - Złotoria</t>
  </si>
  <si>
    <t>Dokumentacja projektowa na Przebudowę z rozbudową drogi powiatowej Nr 1381B Tykocin - Rzędziany</t>
  </si>
  <si>
    <t>Dokumentacja projektowa na Budowę chodnika w ciągu drogi powiatowej Nr 1377B w m. Nieciece</t>
  </si>
  <si>
    <t>Dokumentacja projektowa na Przebudowę z rozbudową drogi powiatowej Nr 1374B na odcinku Tatary - Łaziuki</t>
  </si>
  <si>
    <t>Przebudowa z rozbudową drogi powiatowej Nr 1381B Tykocin - Rzędziany - Etap I</t>
  </si>
  <si>
    <t>Przebudowa z rozbudową drogi powiatowej Nr 1381B Tykocin - Rzędziany - Etap I od km 4+100 do km 4+700</t>
  </si>
  <si>
    <t>Dokumentacja projektowa na Przebudowę z rozbudową skrzyżowania drogi powiatowej Nr 1377B z drogami gminnymi Nr 105501B i Nr 105509B w m. Łopuchowo</t>
  </si>
  <si>
    <t>Dokumentacja projektowa na Przebudowę drogi powiatowej Nr 1374B na odcinku  Łaziuki - Krosno</t>
  </si>
  <si>
    <t>Przebudowa z rozbudową drogi powiatowej Nr 1381B Tykocin - Rzędziany na odcinku Rzedziany - Saniki</t>
  </si>
  <si>
    <t>Przebudowa drogi powiatowej Nr 1381B Tykocin - Rzedziany w miejscowości Rzędziany</t>
  </si>
  <si>
    <t>Przebudowa z rozbudową skrzyżowania drogi powiatowej Nr 1377B z drogami gminnymi Nr 105501B i Nr 105509 w m. Łopuchowo</t>
  </si>
  <si>
    <t>Przebudowa z rozbudową drogi powiatowej Nr 1374B na odcinku Łaziuki - Krosno</t>
  </si>
  <si>
    <t>Opracowanie dokumentacji projektowej na "Budowę wgłębnego odwodnienia drogi powiatowej Nr 1377B w miejscowości Nieciece"</t>
  </si>
  <si>
    <t>Remont nawierzchni w ciągu drogi powiatowej Nr 1376B Krosny - droga Nr 1374B</t>
  </si>
  <si>
    <t>Przebudowa drogi powiatowej Nr 1374B na odcinku Tatary - Łaziuki</t>
  </si>
  <si>
    <t>Gmina Tykocin</t>
  </si>
  <si>
    <t>Przebudowa z rozbudową drogi powiatowej Nr 1380B Tykocin - Złotoria, Etap I</t>
  </si>
  <si>
    <t>Przebudowa drogi powiatowej Nr 1427B we wsi Nowodworce</t>
  </si>
  <si>
    <t>Przebudowa z rozbudową drogi powiatowej Nr 1428B w miejscowości Studzianki i budowa drogi gminnej Nr 105415B Studzianki - droga krajowa Nr 19 - Etap I</t>
  </si>
  <si>
    <t>Gmina Wasilków</t>
  </si>
  <si>
    <t>Przebudowa z rozbudową drogi powiatowej Nr 1428B w miejscowości Studzianki - Etap II</t>
  </si>
  <si>
    <t>Budowa chodnika w pasie drogowym drogi powiatowej Nr 1428B w miejscowości Studzianki na odcinku od ul. Polnej do ul. Białostockiej</t>
  </si>
  <si>
    <t>Budowa chodnika w pasie drogowym drogi powiatowej Nr 1428B Wasilków - Studzianki w m. Dąbrówki</t>
  </si>
  <si>
    <t>Przebudowa drogi powiatowej Nr 1393B na odcinku Leńce - Jurowce</t>
  </si>
  <si>
    <t>Aktualizacja dokumentacji projektowej na Przebudowę z rozbudową drogi powiatowej Nr 1394B droga Nr 8 - Sielachowskie - Osowicze"</t>
  </si>
  <si>
    <t>Przebudowa z rozbudową drogi powiatowej Nr 1418B na odcinku Mostek - Rybniki</t>
  </si>
  <si>
    <t>Przebudowa chodnika w ciągu drogi powiatowej Nr 1418B w m. Rybniki, długość odcinka ok. 500m</t>
  </si>
  <si>
    <t>Przebudowa z rozbudową drogi powiatowej Nr 1428B w Dąbrówkach (odcinek ok. 600mb.) - etap I</t>
  </si>
  <si>
    <t>Przebudowa z rozbudową drogi powiatowej Nr 1428B w Dąbrówkach Etap I</t>
  </si>
  <si>
    <t>Przebudowa chodnika w ciągu drogi powiatowej Nr 1418B w m. Rybniki - kontynuacja robót</t>
  </si>
  <si>
    <t>Wzmocnienie nawierzchni odcinków drogi powiatowej Nr 1469B poprzez wykonanie warstwy ścieralnej z betonu asfaltowego na odcinku Folwarki Małe - Folwarki Wielkie</t>
  </si>
  <si>
    <t>Opracowanie dokumentacji projektowej na "Przebudowa z rozbudową drogi powiatowej Nr 1489B na odcinku Pasynki - Zagruszany"</t>
  </si>
  <si>
    <t>Opracowanie dokumentacji projektowej na "Przebudowa z rozbudową drogi powiatowej Nr 1469B na odcinku Protasy - Folwarki Małe i drogi powiatowej Nr 1470B Folwarki Małe - Zabłudów"</t>
  </si>
  <si>
    <t>Opracowanie dokumentacji projektowej na "Przebudowa z rozbudową drogi powiatowej Nr 1489B na odcinku Żuki - Pasynki"</t>
  </si>
  <si>
    <t>Przebudowa wraz z rozbudową drogi powiatowej Nr 1485B na odcinku Łubniki - Zwierki</t>
  </si>
  <si>
    <t>Przebudowa drogi powiatowej Nr 1489B na odcinku Żuki - Pasynki</t>
  </si>
  <si>
    <t>Opracowanie dokumentacji projektowej na "Przebudowę z rozbudową drogi powiatowej Nr 1488B Zabłudów - Kowalowce - Nowosady"</t>
  </si>
  <si>
    <t>Dokumentacja projektowa na zadanie "Przebudowa z rozbudową drogi powiatowej Nr 1488B na odcinku Nowosady - granica Gminy Zabłudów"</t>
  </si>
  <si>
    <t>Budowa ciągu komunikacyjnego w miejscowości Kuriany gm. Zabłudów (w tym ścieżki rowerowej), stanowiącego przedłużenie ul. Gminnej w Białymstoku - dotacja na współfinansowanie w zakresie dróg powiatowych w ramach Projektu: Rozwój niskoemisyjnego transportu zbiorowego i rowerowego w BOF</t>
  </si>
  <si>
    <t>Gmina Zabłudów</t>
  </si>
  <si>
    <t>Budowa drogi powiatowej Nr 1469B na odcinku Protasy - Folwarki Małe, Etap I</t>
  </si>
  <si>
    <t>Przebudowa drogi powiatowej Nr 1489B na odcinku Pasynki - Zagruszany</t>
  </si>
  <si>
    <t>Rozbudowa drogi wraz z rozbiórką mostu i budową przepustu przez ciek bez nazwy w ciągu drogi powiatowej Nr 1969B w m. Targonie Wity</t>
  </si>
  <si>
    <t>Dokumentacja projektowa na Przebudowę z rozbudową drogi powiatowej Nr 1969B na odcinku przejścia przez miejscowość Łaś Toczyłowo</t>
  </si>
  <si>
    <t>Przebudowa skrzyżowania drogi powiatowej Nr 1972B z drogą gminną w miejscowości Maliszewo Łynki</t>
  </si>
  <si>
    <t>Opracowanie dokumentacji projektowej na "Przebudowa dróg powiatowych Nr 1973B: Mężenin - Chlebiotki Nowe - do drogi 64 i Nr 1838B: od drogi 64 - Strękowa Góra - Osowiec"</t>
  </si>
  <si>
    <t>Dokumentacja projektowa na zadanie "Przebudowa z rozbudową drogi powiatowej Nr 1970B w m. Targonie Krytuły"</t>
  </si>
  <si>
    <t>Przebudowa z rozbudową drogi powiatowej Nr 1969B na odcinku Łaś Toczyłowo - Rudniki</t>
  </si>
  <si>
    <t>Opracowanie dokumentacji projektowej na Rozbudowę drogi powiatowej Nr 1969B w miejscowości Łaś Toczyłowo</t>
  </si>
  <si>
    <t>Opracowanie dokumentacji projektowej na Przebudowę drogi powiatowej Nr 1969B na odcinku Targonie Wity - Zawady Kolonia</t>
  </si>
  <si>
    <t>Remont nawierzchni chodnika w ciągu drogi powiatowej Nr 2043B ul. H. Sienkiewicza w m. Zawady</t>
  </si>
  <si>
    <t>Remont drogi powiatowej Nr 1975B na odcinku Cibory Gałeckie m- droga krajowa 8</t>
  </si>
  <si>
    <t>Przebudowa z rozbudową drogi powiatowej Nr 1969B na odcinku przejscia przez miejscowość Łaś Toczyłowo</t>
  </si>
  <si>
    <t>Przebudowa z rozbudową drogi powiatowej Nr 1970B w m. Targonie Krytuły</t>
  </si>
  <si>
    <t>Opracowanie dokumentacji projektowej na: Przebudowę mostu prez rz. Horodniankę w m. Sienkiewicze w ciagu drogi powiatowej Nr 1535B</t>
  </si>
  <si>
    <t>Opracowanie dokumentacji projektowej "Przebudowa przepustu w km 1+200 w ciągu drogi powiatowej Nr 1536B: droga 1535B - Kruszewo - droga 1535B; w m. Kruszewo"</t>
  </si>
  <si>
    <t>ŚRODKI FINANSOWE PRZEZNACZONE NA INWESTYCJE DROGOWE POWIATU BIAŁOSTOCKIEGO W LATACH 2015 - 2025
 W GMINIE CHOROSZCZ</t>
  </si>
  <si>
    <t>Budowa chodnika przy drodze powiatowej Nr 1552B na odcinku od skrzyżowania z drogą powiatową Nr 1538B do ul. Kolonia Gaj - kontynuacja robót</t>
  </si>
  <si>
    <t>Przebudowa drogi powiatowej Nr 1537B - przejście przez wies Konowały</t>
  </si>
  <si>
    <t>Rozbiórka i budowa mostu przez rz. Horodnianka w m. Sienkiewicze wraz z dojazdami w ciagu drogi powiatowej Nr 1535B</t>
  </si>
  <si>
    <t>Przebudowa z rozbudową drogi powiatowej Nr 1537B - przejscie przez miejscowość Izbiszcze</t>
  </si>
  <si>
    <t>Przebudowa z rozbudową drogi powiatoej Nr 1538B Choroszcz (droga do Kościuk) - Kościuki w obrębie wsi Kościuki</t>
  </si>
  <si>
    <t>Opracowanie dokumentacji projektowej na Przebudowę drogi powiatowej Nr 1535B Białystok - Kruszewo - na odcinku od granic administracyjnych m. Choroszcz do skrzyżowania z drogą powiatową Nr 1537B i drogą gminną Nr 106267B</t>
  </si>
  <si>
    <t>2020/2021</t>
  </si>
  <si>
    <t>Opracowanie dokumentacji projektowej na Przebudowę z rozbudową drogi powiatowej Nr 1549B na odcinku ul. Kolejowej w Klepaczach</t>
  </si>
  <si>
    <t>Budowa drogi powiatowej Nr 1549B w miejscowości Oliszki</t>
  </si>
  <si>
    <t>2020/2022</t>
  </si>
  <si>
    <t>Przebudowa mostu wraz z dojazdami na rzece Czaplinianka w m. Gajowniki w ciągu drogi powiatowej Nr 1542B droga przez wieś Gajowniki</t>
  </si>
  <si>
    <t>Przebudowa z rozbudową odcinka drogi powiatowej Nr 1541B Zaczerlany - Gajowniki - Kolonia</t>
  </si>
  <si>
    <t>2022/2023</t>
  </si>
  <si>
    <t>Przebudowa drogi powiatowej Nr 1535B Białystok - Kruszewo na odcinku od skrzyżowania z drogą powiatową Nr 1538B do skrzyżowania z drogą powiatową Nr 1537B i drogą gminną Nr 106267B</t>
  </si>
  <si>
    <t>Przebudowa drogi powiatowej Nr 1536B - przejście przez miejscowość Kruszewo</t>
  </si>
  <si>
    <t>2021/2022</t>
  </si>
  <si>
    <t>Budowa drogi powiatowej Nr 1551B: droga krajowa Nr 8 - Porosły - Krupniki</t>
  </si>
  <si>
    <t>Opracowanie dokumentacji projektowej na "Przebudowę z rozbudową drogi powiatowej Nr 1548B Barszczewo - Ogrodniki"</t>
  </si>
  <si>
    <t>Aktualizacja dokumentacji projektowej na "Przebudowę z rozbudową drogi powiatowej Nr 1552B przejście przez m. Pańki"</t>
  </si>
  <si>
    <t>Budowa chodnika wzdłuż drogi powiatowej Nr 1535B na odcinku od skrzyżowania dróg Nr 1551B, 1535B i Nr 106266B do sklepu spożywczego Chorten na działce nr geod. 330 w Krupnikach</t>
  </si>
  <si>
    <t>Poprawa bezpieczeństwa ruchu poprzez budowę wyniesionego przejścia dla pieszych w Barszczewie na drodze powiatowej Nr 1548B</t>
  </si>
  <si>
    <t>Poprawa bezpieczeństwa ruchu poprzez budowę wyniesionego skrzyżowania ul. Mickiewicza (droga powiatowa Nr 2228B) z ul. Karpińskiego w Choroszczy</t>
  </si>
  <si>
    <t>ŚRODKI FINANSOWE PRZEZNACZONE NA INWESTYCJE DROGOWE POWIATU BIAŁOSTOCKIEGO W LATACH 2015 - 2025 
W GMINIE CZARNA BIAŁOSTOCKA</t>
  </si>
  <si>
    <t>Budowa drogi powiatowej Nr 1421B na odcinku przejścia przez miejscowość Klimki</t>
  </si>
  <si>
    <t>Przebudowa skrzyżowania dróg powiatowych Nr 1320B i Nr 1420B w miejscowości Zdroje (opracowano operat wodnoprawny)</t>
  </si>
  <si>
    <t>Przebudowa z rozbudową drogi powiatowej Nr 1423B Czarna Wieś Kościelna - Ogóły</t>
  </si>
  <si>
    <t>Opracowanie dokumentacji projektowej na Przebudowę drogi powiatowej Nr 1307B na odcinku Jezierzysk - granica Powiatu Białostockiego</t>
  </si>
  <si>
    <t>Budowa drogi powiatowej Nr 1421B na odcinku Ruda Rzeczka - Klimki</t>
  </si>
  <si>
    <t>Przebudowa skrzyżowania dróg powiatowych Nr 1320B i Nr 1420B w miejscowości Zdroje</t>
  </si>
  <si>
    <t>Przebudowa skrzyżowania dróg powiatowych Nr 2302B - ul. Sienkiewicza i Nr 2303B - ul. Fabrycznej z drogą gminną  - ul. Sienkiewicza w Czarnej Białostockiej</t>
  </si>
  <si>
    <t>Przebudowa drogi powiatowej Nr 1307B na odcinku granica Powiatu Białostockiego - Jezierzysk</t>
  </si>
  <si>
    <t>Poprawa bezpieczeństwa ruchu poprzez budowę wyniesionego skrzyżowania ul. Płsudskiego (droga powiatowa Nr 2299B) z ul. Orzeszkowej i ul. Szkolną w Czarnej Białostockiej</t>
  </si>
  <si>
    <t>Poprawa bezpieczeństwa ruchu poprzez budowę wyniesionego skrzyżowania ul. Torowej (droga powiatowa Nr 2300B) z ul. Traugutta w Czarnej Białostockiej</t>
  </si>
  <si>
    <t>Poprawa bezpieczeństwa ruchu poprzez budowę wyniesionego skrzyżowania ul. Sienkiewicza (droga powiatowa Nr 2302B) z ul. Prusa w Czarnej Białostockiej</t>
  </si>
  <si>
    <t>Poprawa bezpieczeństwa ruchu poprzez budowę wyniesionego skrzyżowania w Czarnej Wsi Kościelnej na drodze powiatowej Nr 1420B</t>
  </si>
  <si>
    <t>ŚRODKI FINANSOWE PRZEZNACZONE NA INWESTYCJE DROGOWE POWIATU BIAŁOSTOCKIEGO 
W LATACH 2015 - 2025 
W GMINIE DOBRZYNIEWO DUŻE</t>
  </si>
  <si>
    <t>Opraowanie dokumentacji projektowej na Przebudowę z rozbudową drogi powiatowej Nr 1385B w m. Pogorzałki na odcinku ok. 300m</t>
  </si>
  <si>
    <t>Budowa jednostronnego chodnika w ciagu drogi powiatowej Nr 1393B w m. Dobrzyniewo Fabryczne - ul. Królewska</t>
  </si>
  <si>
    <t>Opracowanie dokumetacji projektowej na Przebudowę z rozbudową drogi powiatowej Nr 1385B na odcinku Gniła - Dobrzyniewo Duże - opracowania uzupełniające</t>
  </si>
  <si>
    <t>Budowa jednostronnego chodnika w ciągu drogi powiatowej Nr 1393B w m. Dobrzyniewo Fabryczne - ul. Królewska</t>
  </si>
  <si>
    <t>Przebudowa z rozbudową drogi powiatowej Nr 1385B w m. Pogorzałki</t>
  </si>
  <si>
    <t>Opracowanie dokumentacji projektowej na "Rozbiórka i budowa mostu przez rz. Białą wraz z przebudową odcinka drogi powiatowej Nr 1392B k/m Fasty"</t>
  </si>
  <si>
    <t>Opracowanie dokumentacji projektowej na "Przebudowę z rozbudową drogi powiatowej Nr 1385B na długości ul. Lipowej w Dobrzyniewie Dużym"</t>
  </si>
  <si>
    <t>Przebudowa z rozbudową drogi powiatowej Nr 1385B na odcinku Gniła - Dobrzyniewo Duże - Etap I</t>
  </si>
  <si>
    <t>Przebudowa drogi powiatowej Nr 1397B na odcinku Chraboły - Kopisk</t>
  </si>
  <si>
    <t>Opracowanie dokumentacji projektowej na "Przebudowę z rozbudową drogi powiatowej na odcinku Kolonia Leńce - Jurowce na terenie Gminy Dobrzyniewo Duże"</t>
  </si>
  <si>
    <t>Opracowanie dokumentacji projektowej na "Budowę chodnika w ciągu drogi powiatowej Nr 1390B - ul. Dzikowska w Fastach"</t>
  </si>
  <si>
    <t>Opracowanie dokumentacji projektowej na "Przebudowę z rozbudową drogi powiatowej Nr 1385B na odcinku Pogorzałki - granica Powiatu Białostockiego"</t>
  </si>
  <si>
    <t>Poprawa bezpieczeństwa ruchu poprzez budowe wyniesionego przejścia dla piszych w Nowym Aleksandrowi na drodze powiatowej Nr 1392B</t>
  </si>
  <si>
    <t>Poprawa bezpieczeństwa ruchu poprzez budowę wyniesionego przjścia dla pieszych w Letnikach na drodze powiatowej Nr 1392B</t>
  </si>
  <si>
    <t xml:space="preserve">Poprawa bezpieczeństwa ruchu poprzez budowę wyniesionego przejścia dla pieszych na skrzyżowaniu ul. Pogodnej (droga powiatowa Nr 1392B) z ul. Spacerową (droga powiatowa Nr 1393B) w Nowym Aleksandrowie </t>
  </si>
  <si>
    <t>2022/2024</t>
  </si>
  <si>
    <t>Przebudowa z rozbudową drogi powiatowej Nr 1385B na odcinku Gniła - Dobrzyniewo Duże - Etap II</t>
  </si>
  <si>
    <t>Przebudowa z rozbudową drogi powiatowej Nr 1385B w m. Pogorzałki na odcinku ok. 300m</t>
  </si>
  <si>
    <t>Opracowanie dokumentacji projektowej na: Przebudowę z rozbudową drogi powiatowej Nr 1385B na odcinku Gniła - Pogorzałki</t>
  </si>
  <si>
    <t>Opracowanie dokumentacji projektowej na: Przebudowę drogi powiatowej Nr 1397B w m. Chraboły</t>
  </si>
  <si>
    <t>ŚRODKI FINANSOWE PRZEZNACZONE NA INWESTYCJE DROGOWE POWIATU BIAŁOSTOCKIEGO 
W LATACH 2015 - 2025 
W GMINIE GRÓDEK</t>
  </si>
  <si>
    <t>ŚRODKI FINANSOWE PRZEZNACZONE NA INWESTYCJE DROGOWE POWIATU BIAŁOSTOCKIEGO 
W LATACH 2024 - 2025 
W GMINIE GRABÓWKA</t>
  </si>
  <si>
    <t>Rozbudowa drogi powiatowej Nr 1440B na odcinku ulicy Polnej w Gródku</t>
  </si>
  <si>
    <t>Aktualizacja dokumentacji projektowej na "Przebudowę z rozbudową drogi powiatowej Nr 1448B w miejscowości Wiejki"</t>
  </si>
  <si>
    <t>Opracowanie dokumentacji projektowej na "Przebudowa z rozbudową drogi powiatowej Nr 1439B i Nr 1437B na odcinku Waliły Stacja - Słuczanka z przejściem przez miejscowość Słuczanka"</t>
  </si>
  <si>
    <t>Poprawa bezpieczeństwa ruchu poprzez budowe wyniesionego przejścia dla pieszych na ul. Chodkiewiczów w Gródku (droga powiatowa Nr 1448B)</t>
  </si>
  <si>
    <t>Przebudowa z rozbudową drogi powiatowej Nr 1448B w miejscowości Wiejki</t>
  </si>
  <si>
    <t>Remont drogi powiatowej Nr 1452B na odcnku od drogi Nr 1448B do m. Straszewo (Polski Ład)</t>
  </si>
  <si>
    <t>2023/2024</t>
  </si>
  <si>
    <t>Opracowanie dokumentacji projektowej na: Budowe mostu przez rz. Słoja k/m Kondycja wraz z dojazdami w ciagu drogi powiatowej Nr 1438B Załuki - Kondycja - Borki</t>
  </si>
  <si>
    <t>ŚRODKI FINANSOWE PRZEZNACZONE NA INWESTYCJE DROGOWE POWIATU BIAŁOSTOCKIEGO W LATACH 2015 - 2025 
W GMINIE JUCHNOWIEC KOŚCIELNY</t>
  </si>
  <si>
    <t>Przebudowa drogi powiatowej Nr 1549B w m. Horodniany (wykonano opracowanie uzupełniające dot. kanalizacji deszczowej)</t>
  </si>
  <si>
    <t>Przebudowa z rozbudową drogi powiatowej Nr 1484B na odcinku Niewodnica Nargilewska - Wojszki w tym opracowanie niezbędnych dokumentacji projektowych - opracowanie dokumentacji projektowej na odcinek Kydrycze - Wojszki</t>
  </si>
  <si>
    <t>Przebudowa wraz z rozbudową drogi powiatowej Nr 1484B na odc. Niewodnica Nargilewska - Kudrycze</t>
  </si>
  <si>
    <t>Opracowanie dokumentacji projektowej na Przebudowę z rozbudową drogi powiatowej Nr 1494B w m. Niewodnica Nargilewska - opracowania uzupełniające</t>
  </si>
  <si>
    <t>Opracowanie dokumentacji projektowej na Przebudowę z rozbudową drogi powiatowej Nr 1498B w m. Szerenosy</t>
  </si>
  <si>
    <t>Przebudowa drogi powiatowej Nr 1483B w Juchnowcu Kościelnym</t>
  </si>
  <si>
    <t>Przebudowa drogi powiatowej Nr 1549B w m. Horodniany</t>
  </si>
  <si>
    <t>Budowa przejścia dla pieszych i utwardzonych do niego dojść w pasie drogowym drogi powiatowej Nr 1483B w m. Lewickie</t>
  </si>
  <si>
    <t>Opracowanie dokumentacji projektowej na "Przebudowę drogi powiatowej "starodroża drogi wojewódzkiej Nr 678" w m. Księżyno"</t>
  </si>
  <si>
    <t>Budowa jednostronnego chodnika w ciągu drogi powiatowej Nr 1484B na terenie zabudowy m. Niewodnica Nargilewska</t>
  </si>
  <si>
    <t>Przebudowa drogi powiatowej Nr 1484B Niewodnica Nargilewska - Wojszki na odcinku Kudrycze - Wojszki</t>
  </si>
  <si>
    <t>Przebudowa z rozbudową drogi powiatowej Nr 1494B w m. Niewodnica Nargilewska (Gm. Juchnowiec Kościelny) wraz z budową jednostronnego chodnika w ciagu drogi powiatowej Nr 1484B na terenie zabudowy m. Niewodnica Nargilewska</t>
  </si>
  <si>
    <t>Opracowanie dokumentacji projektowej na "Przebudowę drogi powiatowej Nr 1483B Hryniewicze - Juchnowiec Kościelny"</t>
  </si>
  <si>
    <t>Opracowanie dokumentacji projektowej na "Przebudowę z rozbudową drogi powiatowej Nr 1494B na odcinku Juchnowiec Kościelny - Rumejki - Niewodnica Narglewska"</t>
  </si>
  <si>
    <t>Aktualizacja dokumentacji projektowej na "Przebudowę z rozbudową drogi powiatowej Nr 1492B Hryniewicze - Olmonty"</t>
  </si>
  <si>
    <t>Opracowanie dokumentacji projektowej na "Przebudowę z rozbudową drogi poiatowej Nr 1497B na odcinku Kolonia Koplany - Brończany - Stacja Lewickie"</t>
  </si>
  <si>
    <t>Rozbudowa drogi powiatowej Nr 1512B na odcinku od drogi powiatowej Nr 1483B do wsi Zajączki</t>
  </si>
  <si>
    <t>Przebudowa drogi powiatowej Nr 1511B Dorożki - Pańki na odcinku przed mostem na rzece Mieńka</t>
  </si>
  <si>
    <t>Poprawa bezpieczeństwa ruchu poprzez przebudowę przejscia dla pieszych na skrzyżowaniu w Hryniewiczach (droga powiatowa Nr 1483B)</t>
  </si>
  <si>
    <t>Przebudowa drogi powiatwoej Nr 2111B w m. Ksieżyno</t>
  </si>
  <si>
    <t>Przebudowa drogi powiatwoej Nr 1484B w m. Wojszki</t>
  </si>
  <si>
    <t>Przebudowa drogi powiatwoej Nr 1483B Hryniewicze - Juchnowiec Kościelny</t>
  </si>
  <si>
    <t>Przebudowa z rozbudową drogi powiatwoej Nr 1498B w m. Szerenosy</t>
  </si>
  <si>
    <t>Opracowanie dokumentcji projektowej na: Budowę drogi rowerowej w ciagu drogi powiatowej Nr 1483B na odcinku Biele - Złotniki</t>
  </si>
  <si>
    <t>Opracowanie dokumentacji projektowej na: Rozbudowę drogi powiatowej Nr 1498B na odcinku Juchnowiec Kościelny - Szerenosy</t>
  </si>
  <si>
    <t>Przebudowa drogi powiatowej Nr 1527B na odcinku Gąsówka - Skwarki - Gąsówka Osse</t>
  </si>
  <si>
    <t>Opracowanie dokumentacji projektowej na Rozbudowę drogi powiatowej Nr 1522B od granicy gminy Poświętnedo drogi powiatowej Nr 1521B w m. Łapy Pluśniaki (opracowano mapę do celów projektowych)</t>
  </si>
  <si>
    <t>Przebudowa z rozbudową drogi powiatowej Nr 1527B Łapy Osse - Gąsówka - Osse (opracowano projekt budowlany)</t>
  </si>
  <si>
    <t>Przebudowa drogi powiatowej Nr 1527B Łapy Kołpaki - Łapy Osse - Gąsówka Somachy - Sokoły w m. Gąsówka Somachy (opracowano operat wodnoprawny)</t>
  </si>
  <si>
    <t>Opracowanie dokumentacji projektowej na Rozbudowę drogi powiatowej Nr 1522B od granicy Gminy Poświętne do drogi powiatowej Nr 1521B w m. Łapy Pluśniaki</t>
  </si>
  <si>
    <t>Przebudowa z rozbudową drogi powiatowej Nr 1527B Łapy Osse - Gąsówka - Osse</t>
  </si>
  <si>
    <t>Przebudowa drogi powiatowej Nr 1527B Łapy Kołpaki - Łapy Osse - Gąsówka Somachy - Sokoły w m. Gąsówka Somachy</t>
  </si>
  <si>
    <t>Wykonanie chodnika na wysokości posesji Nr 6 i 8 w ciągu drogi powiatowej Nr 2347B - ul. Grzybowej w Łapach</t>
  </si>
  <si>
    <t>Opracowanie dokumentacji projektowej na "Przebudowę drogi powiatowej Nr 1562B na terenie Gminy Łapy"</t>
  </si>
  <si>
    <t>Rozbudowa drogi powiatowej Nr 1522B od granicy gminy Poświętne do drogi powiatowej Nr 1521B w m. Łapy Pluśniaki - Etap I</t>
  </si>
  <si>
    <t>Opracowanie dokumentacji projektowej na Przebudowę z rozbudową drogi powiatowej Nr 1534B droga 678 - Wólka Waniewska</t>
  </si>
  <si>
    <t>Poprawa bezpieczeństwa ruchu poprzez budowę wyniesionego przejścia dla pieszych na ul. Warszawskiej w Łapach (droga powiatowa Nr 2351B)</t>
  </si>
  <si>
    <t>Poprawa bezpieczeństwa ruchu poprzez budowę wyniesionego przejścia dla pieszych w Płonce Kościelnej (droga powiatowa Nr 1528B)</t>
  </si>
  <si>
    <t>Poprawa bezpieczeństwa ruchu poprzez budowę wyniesionego przejścia dla pieszych na ul. Żwirki i Wigury w Łapach (droga powiatowa Nr 2352B)</t>
  </si>
  <si>
    <t>Budowa ścieżki pieszo - rowerowej w ciągu drogi powiatowej Nr 2352B ul. Żwirki i Wigury w Łapach</t>
  </si>
  <si>
    <t>ŚRODKI FINANSOWE PRZEZNACZONE NA INWESTYCJE DROGOWE POWIATU BIAŁOSTOCKIEGO W LATACH 2015 - 2025
W GMINIE ŁAPY</t>
  </si>
  <si>
    <t>ŚRODKI FINANSOWE PRZEZNACZONE NA INWESTYCJE DROGOWE POWIATU BIAŁOSTOCKIEGO 
W LATACH 2015 - 2025 
W GMINIE MICHAŁOWO</t>
  </si>
  <si>
    <t>Przebudowa drogi powiatoej Nr 1448B na odcinku Kuchmy - granica Gminy Michałowo (opracowano operat wodnoprawny)</t>
  </si>
  <si>
    <t>Przebudowa drogi powiatowej Nr1448B na odcinku Kuchmy - granica Gminy Michałowo</t>
  </si>
  <si>
    <t>Przebudowa z rozbudową drogi powiatowej Nr 1444B - przejście przez miejscowość Sokole</t>
  </si>
  <si>
    <t>Opracowanie dokumentacji projektowej na "Przebudowę z rozbudową drogi powiatowej Nr 1466B na odcinku Hieronimowo - granica Gminy Michałowo"</t>
  </si>
  <si>
    <t>Opracowanie dokumentacji projektowej na "Przebudowę drogi powiatowej Nr 1440B w miejscowości Topolany"</t>
  </si>
  <si>
    <t>Poprawa bezpieczeństwa ruchu poprzez budowe wyniesionego przejscia dla pieszych na ul. Gródeckiej w Michałowie (droga powiatowa Nr 1440B)</t>
  </si>
  <si>
    <t>Opracowanie dokumentacji projektowej na: Przbudowe z rozbudową drogi powiatowej Nr 1456B Jałówka - Mostowlany - Bobrowniki na odcinku Mostowlany - Jałówka</t>
  </si>
  <si>
    <t>Remont drogi powiatowej Nr 1629B starodroże drogi wojewódzkiej Nr 676 - Nowa Wola (Polski Ład)</t>
  </si>
  <si>
    <t>ŚRODKI FINANSOWE PRZEZNACZONE NA INWESTYCJE DROGOWE POWIATU BIAŁOSTOCKIEGO W LATACH 2015 - 2025 
W GMINIE POŚWIĘTNE</t>
  </si>
  <si>
    <t>Przebudowa drogi powiatowej Nr 1522B na odcinku Pietkowo - granica Gminy Poświętne</t>
  </si>
  <si>
    <t>Opracowanie dokumentacji projektowej na "Przebudowę z rozbudową drogi powiatowej Nr 1562B na odcinku droga 681 - Kamińskie Wiktory"</t>
  </si>
  <si>
    <t>Przebudowa drogi powiatowej Nr 1522B w miejscowości Pietkowo</t>
  </si>
  <si>
    <t>Opracowanie dokumentacji projektowej na Przebudowę z rozbudową drogi powiatowej Nr 1564B na odcinku Dzierżki - Brzozowo Solniki</t>
  </si>
  <si>
    <t>Poprawa bezpieczeństwa ruchu poprzez budowę wyniesionego przejscia dla pieszych w Poświętnem (droga powiatowa Nr 1565B)</t>
  </si>
  <si>
    <t>Poprawa bezpieczeństwa ruchu poprzez budowę wyniesionego przejścia dla pieszych w m. Gołębie (droga powiatowa Nr 1563B)</t>
  </si>
  <si>
    <t>Poprawa bezpieczeństwa ruchu poprzez budowę wyniesionego przejscia dla pieszych w Pietkowie (droga powiatowa Nr 1522B)</t>
  </si>
  <si>
    <t>Aktualizacja dokumentacji projektowej na: Przebudowę z rozbudową drogi powiatowej Nr 1562B na odcinku m. Kamińskie Wiktory</t>
  </si>
  <si>
    <t>Remont drogi powiatowej Nr 1565B na odcinku od m. Brzozowo Stare do m. Brzozowo Panki (Polski Ład)</t>
  </si>
  <si>
    <t>Poprawa bezpieczeństwa ruchu poprzez przebudowę przejścia dla pieszych w Al. Niepodległości w Choroszczy (droga powiatowa Nr 1552B)</t>
  </si>
  <si>
    <t>Przebudowa drogi powiatowej Nr 2302B- ul. Sienkiewicza w Czarnej Białostockiej, polegająca na przebuodiwe zatoki postojowej i chodnika na odcinku od ul. Bolesława Prusa do działki nr geod. 1069/59</t>
  </si>
  <si>
    <t>Aktualizacja dokumentacji projektowej na przebodw z rozbudową drogi powiatowej Nr 1421B Czarna Wieś Kościelna- Klimki- Wólka Ratowiecka- Ruda Rzeczka- droga krajowa Nr 19 na odcinku Klimki- Wólka Ratowiecka</t>
  </si>
  <si>
    <t>Przebudowa z rozbudową drogi powiatowej Nr 1394B droga Nr 8 - Sielachowskie - Osowicze" Etap I</t>
  </si>
  <si>
    <t>Opracowanie dokumentacji projektowej na: Wykonanie miejscowego odwodnienia drogi powiatowej Nr 1969B w m. Zawady Kolonia</t>
  </si>
  <si>
    <t>Przebudowa z rozbudową drogi powiatowej Nr 1475B na odcinku Sobolewo - Henrykowo</t>
  </si>
  <si>
    <t>Budowa z rozbudową drogi powiatowej Nr 1430B  na odcinku od drogi powiatowej Nr 1431B (ul. 42 Pułku Pechoty) do miejscowości Sowlany</t>
  </si>
  <si>
    <t>Opracowanie aktualizacji dokumentacji projektowej na Wykonanie ciagu pieszo - rowerowego w ciagu drogi powiatowej Nr 1431B Zielona - Białystok (ul. 42 Pułku Piechoty)</t>
  </si>
  <si>
    <t>Opracowanie aktualizacji dokumentacji projektowej na Przebudowę drogi powiatowej Nr 1432B ul. Ciołkowskiego w Grabówce w części dot. ciągu pieszo - rowerowego</t>
  </si>
  <si>
    <t>Przebudowa z rozbudową drogi powiatowej Nr 1429B Grabówka - Ciasne</t>
  </si>
  <si>
    <t>Przebudowa z rozbudowa drogi powiatowe Nr 2391B - Al. Niepodległości wraz z przebudową skrzyżowania z ul. Piłsudskiego w Supraślu</t>
  </si>
  <si>
    <t>Przebudowa drogi powiatowej Nr 2391B naodcinku ul. Nowej w m. Supraśl od ul. Dolnej do ul. Białostockiej</t>
  </si>
  <si>
    <t>Opracowanie dokumentacji projektowej na Budowę ciągu pieszo - jezdnego w ciagu drogi powiatowej Nr 1432B na odcinku od istniejącej ścieżki do granicy Powiatu Białostockiego</t>
  </si>
  <si>
    <t>Poprawa bezpieczeństwa ruchu poprzez budowę wyniesionego przejścia dla pieszych w rejonie skrzyżowania ul. Piłsudskiego (droga powiatowa Nr 2389B) z ul. Szkolną w Supraślu</t>
  </si>
  <si>
    <t>Poprawa bezpieczeństwa ruchu poprzez budowę wyniesionego przejścia dla pieszych w Karakulach (droga powiatowa Nr 1430B)</t>
  </si>
  <si>
    <t>Poprawa bezpieczeństwa ruchu poprzez budowę wyniesionego przejscia dla pieszych na skrzyżowaniu ul. Piłsudskiego (droga powiatowa Nr 2389B) z ul. 11 Listopada i ul. Słowackiego w Supraślu</t>
  </si>
  <si>
    <t>Poprawa bezpueczeństwa ruchu poprzez budowę wyniesionego przejscia dla pieszych w Sobolewie (droga powiatowa Nr 1475B)</t>
  </si>
  <si>
    <t>Opracowanie dokumentacji projektowej na: Budowę ścieżki rowerowej w ciagu drogi powiatowej Nr 1429B na odcinku od ronda do ul. Malinowej w Grabówce</t>
  </si>
  <si>
    <t>Przebudowa drogi powiatowej Nr 1488B  Zabłudów - Biele - Suraż na odcinku ul. Zabłudowskiej w Surażu</t>
  </si>
  <si>
    <t>Przebudowa drogi powiatowej Nr 1509B Zawyki - Zawyki Ferma na odcinku od km 0+510,5 do końca drogi powiatowej</t>
  </si>
  <si>
    <t>Opracowanie dokumentacji projektowej na "Przebudowę drogi powiatowej Nr 1505B na odcinku Rynki - Średzińskie"</t>
  </si>
  <si>
    <t>Opracowanie dokumentacji projektowej na Przebudowę z rozbudowa drogi powiatowej Nr 1517B Turośń Dolna - Suraż wraz z przebudową mostu na cieku bez nazwy k/m Kowale</t>
  </si>
  <si>
    <t>Poprawa bezpieczeństwa ruchu poprzez budowę wyniesionego przejscia dla pieszych na ul. Bielskiej w Surażu (droga powiatowa Nr 1508B)</t>
  </si>
  <si>
    <t>Opracowanie dokumentacji projektowej na: Przebudowę z rozbudową drogi powiatowej Nr 1488B na odcinku ul. Zabłudowskiej w Surażu (od skrzyżowania z ul. Białostocka do skrzyżowania z ul. 11 Listopada) i Nr 1521B na odcinku ul. Piłsudskiego w Saurażu do granicy gminy</t>
  </si>
  <si>
    <t>Przebudowa z rozbudową drogi powiatowej Nr 1543B w m. Niewodnica Kościelna na odcinku od ul. Dąbrowskiego do ul. Trakt Napoleoński</t>
  </si>
  <si>
    <t>Budowa drogi powiatowej Nr 1532B Bojary - przystanek kolejowy Bojary</t>
  </si>
  <si>
    <t>Przebudowa drogi powiatowej Nr 1555B przez wieś Dołki</t>
  </si>
  <si>
    <t>Przebudowa chodnika w ciągu drogi powiatowej Nr 1547B w m. Tołcze (opracowanie dokumentacji projektowej)</t>
  </si>
  <si>
    <t>Przebudowa drogi powiatowej Nr 1539B na odcinku wsi Zawady</t>
  </si>
  <si>
    <t>Przebudowa chodnika w ciagu drogi powiatowej Nr 1547B w m. Tołcze</t>
  </si>
  <si>
    <t>Opracowanie dokumentacji projektowej na Przebudowę z rozbudową drogi powiatowej Nr 1504B na odcinku od drogi wojewódzkiej Nr 678 do skrzyżowania z drogami powiatowymi Nr 1498B i 1518B wraz ze skrzyżowaniem - dokumentacja projektowa etapu I</t>
  </si>
  <si>
    <t>Opracowanie dokumentacji projektowej na Przebudowę z rozbudową drogi powiatowej Nr 1504B na odcinku od drogi wojewódzkiej Nr 678 do mostu na rzece Turośnianka (z wyłączeniem m. Niecki i Iwanówka oraz odc. od km 0+000 do km 0+600)</t>
  </si>
  <si>
    <t>Poprawa bezpieczeństwa ruchu poprzez budowę wyniesionego przejścia dla pieszych w Niewodnicy Koryckiej (droga powiatowa Nr 1546B)</t>
  </si>
  <si>
    <t>Poprawa bezpieczeństwa ruchu poprzez budowę wyniesionego przejscia dla pieszych w Tołczach na drodze powiatowej Nr 1547B</t>
  </si>
  <si>
    <t>Opracowanie dokumentacji projektowej na: Przbudowe drogi powiatowej Nr 1516B Turośń Kościelna - Turośń Dolna</t>
  </si>
  <si>
    <t>Przebudowa chodnika w ciagu drogi powiatowej Nr 1500B w m. Pomigacze</t>
  </si>
  <si>
    <t>Przebudowa z rozbudową drogi powiatowej Nr 1484B na odc. Niewodnica Nargilewska - Kudrycze</t>
  </si>
  <si>
    <t>Budowa drogi powiatowej Nr 1469B na odcinku Protasy - Folwarki Małe, Etap II</t>
  </si>
  <si>
    <t>Opracowanie dokumentacji projektowej na "Przebudowę z rozbudową połączenia drogi powiatowej Nr 1472B z drogami gminnymi w miejscowości Tatarowce"</t>
  </si>
  <si>
    <t>Przebudowa z rozbudową drogi powiatowej Nr 1489B na odcinkach Żuki - Pasynki, Pasynki - Zagruszany</t>
  </si>
  <si>
    <t>Przebudowa wraz z rozbudową drogi powiatowej Nr 1470B Folwarki Małe - Zabłudów</t>
  </si>
  <si>
    <t>Poprawa bezpieczeństwa ruchu poprzez przebudowę wyniesionego przejscia dla pieszych w Rafałówce (droga powiatowa Nr 1469B)</t>
  </si>
  <si>
    <t>Poprawa bezpieczeństwa ruchu poprzez przebudowę wyniesionego przejscia dla pieszych w Dobrzyniówce (droga powiatowa Nr 1469B)</t>
  </si>
  <si>
    <t>Budowa drogi powiatowej Nr 1469B na odcinku Rafałówka - Folwarki Małe</t>
  </si>
  <si>
    <t>Opracowanie dokumentacji projektowej na: Przebudowę skrzyżowania drogi powiatowej Nr 1489B z drogą gminną Nr 106855B w m. Zagruszany</t>
  </si>
  <si>
    <t>Przebudowa z rozbudową drogi powiatowej Nr 1394B: droga Nr 8 - Sielachowskie - Osowicze Etap I</t>
  </si>
  <si>
    <t>Przebudowa drogi powiatowej Nr 1427B w m. Nowodowrce polegająca na budowie jednostronnego chodnika</t>
  </si>
  <si>
    <t>Opracowanie dokumentacji projektowej na "Przebudowę z rozbudową drogi powiatowej Nr 1419B Wólka - Katrynka wraz z rozbiórką i budową mostu na rzece Czarnej"</t>
  </si>
  <si>
    <t>Opracowanie dokumentacji projektowej na "Przebudowę z rozbudową drogi powiatowej Nr 1418B w miejscowości Rybniki wraz z rozbiórką i budową na rzece Krzemianka"</t>
  </si>
  <si>
    <t>Opracowanie dokumentacji projektowej na "Przebudowę z rozbudową drogi powiatowej Nr 1394B droga Nr 8 - Sielachowskie - Osowicze - opracowania uzupełniające dot. Etap II"</t>
  </si>
  <si>
    <t>Aktualizacja dokumentacji projektowej na "Przebudowę z rozbudową drogi powiatowej Nr 1428B Wasilków - Studzianki Etap I"</t>
  </si>
  <si>
    <t>Opracowanie dokumentacji projektowej na "Przebudowę z rozbudową drogi powiatowej Nr 1427B na odcinku Wasilków - Nowodworce"</t>
  </si>
  <si>
    <t>Przebudowa z rozbudowa drogi powiatowej Nr 1419B Wólka - Katrynka wraz z rozbiórką i budową mostu na rzece Czarnej</t>
  </si>
  <si>
    <t>Przebudowa z rozbudową drogi powiatowej Nr 1394B roga Nr 8 - Sielachowskie - Osowicze Etap II</t>
  </si>
  <si>
    <t>Opracowanie dokumentacji projektowej na Budowę ścieżki rowerowej w ciagu drogi powiatowej Nr 1418B na odcinku od ul. Wojtachowskiej do miejscowości Sochonie</t>
  </si>
  <si>
    <t>Opracowanie dokumentacji projektowej na przebudowę z rozbudową drogi powiatowej Nr 1393B na terenie Gminy Wasilków</t>
  </si>
  <si>
    <t>Poprawa bezpieczeństwa ruchu poprzez budowę wyniesionego przejścia dla pieszych w Studziankach na drodze powiatowej Nr 1428B</t>
  </si>
  <si>
    <t>Przebudowa z rozbudową drogi powiatowej Nr 1418B w m. Rybniki wraz z rozbiórką i budową mostu na rzece Krzemianka</t>
  </si>
  <si>
    <t>Budowa ścieżki pieszo - rowerowej w ciagu drogi powiatowej Nr 1428B na odcinku Wasilków - Dąbrówki</t>
  </si>
  <si>
    <t>Remont drogi powiatowej Nr 1428B w m. Dąbrówki (Polski Ład)</t>
  </si>
  <si>
    <t>Przebudowa dróg powiatowych Nr 1973B Mężenin - Chlebiotki Nowe - do drogi 64 i Nr 1838B od drogi 64 - Strękowa Góra - Osowiec na terenie Powiatu Białostockiego</t>
  </si>
  <si>
    <t>Aktualizacja dokumentacji projektowej na "Przebudowę z rozbudową drogi powiatowej Nr 1969B na odcinku Targonie Wity - Zawady Kolonia"</t>
  </si>
  <si>
    <t>Przebudowa dróg powiatowych Nr 1973B Mężenin - Chlebiotki Nowe - do drogi 64 i Nr 1838B od drogi 64 - Strękowa Góra - Osowiec na terenie Powiatu Białostockiego Etap II</t>
  </si>
  <si>
    <t>Opracowanie dokumentacji projektowej na Przebudowę z rozbudową drogi powiatowej Nr 1377B na odcinku Łopuchowo - Zawady</t>
  </si>
  <si>
    <t>Poprawa bezpieczeństwa ruchu poprzez budowę wyniesionego przejscia dla pieszych w Zawadach (droga powiatowa Nr 2043B)</t>
  </si>
  <si>
    <t>Opracowanie dokumentacji projektowej na: Przebudowę drogi powiatowej Nr 1539B na odcinku wsi Zawady</t>
  </si>
  <si>
    <t>Przebudowa z rozbudową drogi powiatowej Nr 1377B w m. Łopuchowo</t>
  </si>
  <si>
    <t>Opracowanie dokumentacji projektowej na "Przebudowę drogi powiatowej Nr 1380B na odcinku ul. 11 Listopada w Tykocinie</t>
  </si>
  <si>
    <t>Aktualizacja dokumentacji projektowej na "Przebudowę z rozbudową drogi powiatowej Nr 1380B Tykocin - Złotoria"</t>
  </si>
  <si>
    <t>Przebudowa z rozbudową drogi powiatowej Nr 1374B  na odcinku Łaziuki - Krosno</t>
  </si>
  <si>
    <t>Opracowanie dokumentacji projektowej na "Przebudowę z rozbudową drogi powiatowej Nr 1377B na odcinku Tykocin - Kiermusy - Nieciece - Łopuchowo"</t>
  </si>
  <si>
    <t>Przebudowa z rozbudową drogi powiatowej Nr 1380B Tykocin - Złotoria Etap II</t>
  </si>
  <si>
    <t>Opraowanie dokumentacji projektowej na Przebudowe z rozbudową drogi powiatowej Nr 1377B na odcinku Tykocin - Kiermusy - Nieciece - Łopuchowo - Etap II (Nieciece - Łopuchowo)</t>
  </si>
  <si>
    <t>Przebudowa drogi powiatowej Nr 1380B na odcinku 11 Listopada w Tykocinie</t>
  </si>
  <si>
    <t>2022/2026</t>
  </si>
  <si>
    <t xml:space="preserve">Opracowanie dokumentacji projektowej na: Przebudowę z rozbudową drogi powiatowej Nr 1387 B Kobuzie - droga 1385 B  (Gm. Dobrzyniewo Duże) </t>
  </si>
  <si>
    <t xml:space="preserve">Opracowanie dokumentacji projektowej na: Przebudowę z rozbudową drogi powiatowej Nr 1385 B na odcinku Gniła - Dobrzyniewo Duże - Etap II  </t>
  </si>
  <si>
    <t>Budowa wyniesionych skrzyżowań i wyniesionych przejść dla pieszych, drogi dla pieszych na terenie Gmin Choroszcz, Dobrzyniewo Duże, Tykocin</t>
  </si>
  <si>
    <t>Przebudowa z rozbudową drogi powiatowej Nr 1424B Karczmisko - Czarna Wieś Kościelna (Gm. Czarna Białostocka)</t>
  </si>
  <si>
    <t xml:space="preserve">Opracowanie dokumentacji projektowej na: Przebudowę z rozbudową drogi powiatowej Nr 1422B w m. Wólka Ratowiecka (Gm. Czarna Białostocka) - aktualizacja </t>
  </si>
  <si>
    <t xml:space="preserve">Opracowanie dokumentacji projektowej na: Przebudowę z rozbudową drogi powiatowej Nr 1320B Łoziniec - Zdroje - Bombla (Gm. Czarna Białostocka) </t>
  </si>
  <si>
    <t>Budowa wyniesionych skrzyżowań i wyniesionych przejść dla pieszych, drogi dla pieszych i przejścia dla pieszych na terenie Gmin Czarna Białostocka i Wasilków</t>
  </si>
  <si>
    <t>2024/2025</t>
  </si>
  <si>
    <t>Przebudowa drogi powiatowej Nr 1385B na długości ul. Lipowej w Dobrzyniewie Dużym wraz z rozbudową skrzyżowania z ul. Białostocką (Gm. Dobrzyniewo Duże)</t>
  </si>
  <si>
    <t>Poprawa bezpieczeństwa ruchu poprzez budowę wyniesionego skrzyżowania drogi powiatowej Nr 1392B z drogą gminną Nr 105455B w m. Fasty</t>
  </si>
  <si>
    <t>Przebudowa z rozbudową drogi powiatowej Nr 1492B Hryniewicze - Olmonty (Gm. Juchnowiec Kościelny)</t>
  </si>
  <si>
    <t>Opracowanie dokumentacji projektowej na: Rozbudowę drogi powiatowej Nr 1502B Juchnowiec Dolny - Wólka (Gm. Juchnowiec Kościelny)</t>
  </si>
  <si>
    <t>Aktualizacja dokumentacji projektowej na: Rozbudowę drogi powiatowej Nr 1483B na odcinku Wólka - Biele (Gm. Juchnowiec Kościelny)</t>
  </si>
  <si>
    <t>Opracowanie dokumentacji projektowej na: Przebudowę z rozbudową drogi powiatowej Nr 1497B na odcinku Ogrodniczki - Janowicze - mapa do celów projektowych (Gm. Juchnowiec Kościelny)</t>
  </si>
  <si>
    <t xml:space="preserve"> Opracowanie dokumentacji projektowej na: Przebudowę z rozbudową drogi powiatowej Nr 1488B na odcinku od granicy z Gminą Zabłudów do skrzyżowania z drogą powiatową Nr 1515B (Gm. Juchnowiec Kościelny)</t>
  </si>
  <si>
    <t>Przebudowa z rozbudowa drogi powiatowej Nr 1562B na odcinku droga 681 - Kamińskie Wiktory na terenie Gminy Łapy i Gminy Poświętn</t>
  </si>
  <si>
    <t>Przebudowa drogi powiatowej Nr 1522B w miejscowości Pietkowo - usunięcie kolizji branży telekomunikacyjnej (Gm. Poświętne)</t>
  </si>
  <si>
    <t>Opracowanie dokumentacji projektowej na: Przebudowę z rozbudową drogi powiatowej Nr 1567B na odcinku Wilkowo Nowe - Wilkowo Stare (Gm. Poświętne)</t>
  </si>
  <si>
    <t>Opracowanie dokumentacji projektowej na: Przebudowę z rozbudową drogi powiatowej Nr 1565B w miejscowości Brzozowo Stare (Gm. Poświętne)</t>
  </si>
  <si>
    <t>Aktualizacja dokumentacji projektowej na: Budowę ściezki rowerowej w ciągu drogi powiatowej Nr 1430B na odcinku Sowlany - Karakule (Gm. Supraśl)</t>
  </si>
  <si>
    <t>Opracowanie dokumentacji projektowej na: Przebudowę drogi powiatowej Nr 1427B na odcinku Ogrodniczki - Nowodworce (Gm. Supraśl)</t>
  </si>
  <si>
    <t>Budowa wyniesionych skrzyżowań i wyniesionych przejść dla pieszych, drogi dla pieszych i oświetlenia przejścia na terenie Obwodu Drogowo-Mostowego w Surażu</t>
  </si>
  <si>
    <t>Poprawa bezpieczeństwa ruchu poprzez budowę wyniesionego skrzyżowania drogi powiatowej Nr 1507B z drogą powiatowa Nr 1514B w m. Zimnochy -Susły</t>
  </si>
  <si>
    <t xml:space="preserve">Poprawa bezpieczeństwa ruchu poprzez budowe wyniesionego przejścia dla pieszych w Zarzeczanach (droga powiatowa Nr 1451B) </t>
  </si>
  <si>
    <t xml:space="preserve">Opracowanie dokumentacji projektowej na: Przebudowe z rozbudową drogi powiatowej Nr 1456B Jałówka - Bobrowniki na odcinku Mostowlany - Bobrowniki </t>
  </si>
  <si>
    <t>Aktualizacja dokumentacji projektowej na: Budowę ścieżki pieszo - rowerowej w ciagu drogi powiatowej Nr 1418B na odcinku od ul. Wojtachowskiej do miejscowości Sochonie wraz z budową kładki pieszo - rowerowej przez rz. Czarną</t>
  </si>
  <si>
    <t>Przebudowa z rozbudową drogi powiatowej Nr 1541B Zaczerlany - Gajowniki-Kolonia Etap II (Gm. Choroszcz)</t>
  </si>
  <si>
    <t>2023/2025</t>
  </si>
  <si>
    <t xml:space="preserve">Opracowanie dokumentacji projektowej na: Budowę drogi rowerowej wzdłuż drogi powiatowej Nr 2303B ul. Fabrycznej w Czarnej Białostockiej 
(Gm. Czarna Białostocka) </t>
  </si>
  <si>
    <t>2024/2026</t>
  </si>
  <si>
    <t>Budowa drogi dla rowerów i pieszych w ciągu drogi powiatowej Nr 1429 w Grabówce (Gm. Grabówka)</t>
  </si>
  <si>
    <t>Opracowanie dokumentacji projektowej na: Budowę ścieżki pieszo - rowerowej na odcinku drogi powiatowej Nr 1493B od granicy z miastem Białystok do skrzyżowania z ulicą Jaworową w Olmontach 
(Gm. Juchnowiec Kościelny)</t>
  </si>
  <si>
    <t>Usprawnienie odwodnienia drogi powiatowej Nr 1444B w miejscowości Sokole 
(Gm. Michałowo)</t>
  </si>
  <si>
    <t>Przebudowa z rozbudową drogi powiatowej Nr 1564B na odcinku Dzierżki - Brzozowo Solniki - etap I (Gm. Poświętne)</t>
  </si>
  <si>
    <t xml:space="preserve"> Opracowanie dokumentacji projektowej na: Przebudowę z rozbudową drogi powiatowej Nr 1567B na odcinku Wilkowo Nowe - Wilkowo Stare (Gm. Poświętne)</t>
  </si>
  <si>
    <t>Rozbudowa drogi powiatowej Nr 1429B na odcinku Ciasne-Ogrodniczki (Gm. Supraśl)</t>
  </si>
  <si>
    <t>2018/2025</t>
  </si>
  <si>
    <t>Przebudowa z rozbudową drogi powiatowej Nr 2116B na odcinku Kolonia Leńce – Jurowce na terenie gminy Wasilków – Etap I</t>
  </si>
  <si>
    <t xml:space="preserve">Opracowanie dokumentacji projektowej na: Budowę mostu na rzece Rudnia wraz z dojazdami w ciągu drogi powiatowej Nr 1477B w m. Aleksicze </t>
  </si>
  <si>
    <t xml:space="preserve"> Przebudowa z rozbudową drogi powiatowej Nr 1472B w miejscowości Tatarowce 
</t>
  </si>
  <si>
    <t>Przebudowa z rozbudową drogi powiatowej Nr 1977B na odcinku Cibory Gałeckie - Nowe Grabowo w tym opracowanie dokumentacji projektowej - opracowanie dokumentacji projektowej</t>
  </si>
  <si>
    <t xml:space="preserve"> Przebudowa z rozbudową drogi powiatowej Nr 1969B na odcinku Łaś Toczyłowo – Rudniki
</t>
  </si>
  <si>
    <t xml:space="preserve">Wzmocnienie nawierzchni drogi powiatowej Nr 1374B na odcinku Słomianka - granica powiatu </t>
  </si>
  <si>
    <t xml:space="preserve">Przebudowa z rozbudową drogi powiatowej Nr 1380B Tykocin - Złotoria Etap IV </t>
  </si>
  <si>
    <t xml:space="preserve">Opracowanie dokumentacji projektowej na: Przebudowę z rozbudową drogi powiatowej Nr 1501B - Etap II - aktualizacja </t>
  </si>
  <si>
    <t xml:space="preserve"> Przebudowa z rozbudową drogi powiatowej Nr 1504B na odcinku od drogi wojewódzkiej Nr 678 do skrzyżowania z drogami powiatowymi Nr 1498B i 1518B wraz ze skrzyżowaniem - Etap I </t>
  </si>
  <si>
    <t xml:space="preserve">Opracowanie dokumentacji projektowej na: Przebudowę z rozbudową drogi powiatowej Nr 1550B na odcinku Klepacze - Niewodnica Kościelna (Gm. Choroszcz, Gm. Turośń Kościelna) - Etap I </t>
  </si>
  <si>
    <r>
      <t>Opracowanie dokumentacji projektowej "Przebudowa z rozbudową dróg powiatowych na terenie gminy Choroszcz" w tym: 1.</t>
    </r>
    <r>
      <rPr>
        <u/>
        <sz val="8"/>
        <rFont val="Arial"/>
        <family val="2"/>
        <charset val="238"/>
      </rPr>
      <t xml:space="preserve"> Przebudowa z rozbudową drogi powiatowej Nr 1552B przejście przez miejscowość Pańki, Przebudowa drogi powiatowej Nr 1552B - ulica Sienkiewicza i ulica Branickiego w Choroszczy</t>
    </r>
    <r>
      <rPr>
        <sz val="8"/>
        <rFont val="Arial"/>
        <family val="2"/>
        <charset val="238"/>
      </rPr>
      <t xml:space="preserve">, </t>
    </r>
    <r>
      <rPr>
        <u/>
        <sz val="8"/>
        <rFont val="Arial"/>
        <family val="2"/>
        <charset val="238"/>
      </rPr>
      <t>Przebudowa z rozbudową drogi powiatowej Nr 1543B Czaplino - Niewodnica Kościelna, Przebudowa z rozbudową drogi powiatowej Nr 1380B Złotoria - Tykocin na odcinku od ronda (droga krajowa Nr 8) do granicy Gminy</t>
    </r>
    <r>
      <rPr>
        <sz val="8"/>
        <rFont val="Arial"/>
        <family val="2"/>
        <charset val="238"/>
      </rPr>
      <t xml:space="preserve"> Choroszcz </t>
    </r>
  </si>
  <si>
    <t>Budowa chodnika przy drodze powiatowej Nr 1552B na odcinku od skrzyżowania z drogą powiatową Nr 1538B do ul. Kolonia Gaj - opracowanie dokumentacji projektowej</t>
  </si>
  <si>
    <t>2018 - 2020</t>
  </si>
  <si>
    <t>2016-2017</t>
  </si>
  <si>
    <t>2017-2018</t>
  </si>
  <si>
    <t>2017-2019</t>
  </si>
  <si>
    <t>2017-2021</t>
  </si>
  <si>
    <t>2018-2019</t>
  </si>
  <si>
    <t>2020-2021</t>
  </si>
  <si>
    <t>2018-2022</t>
  </si>
  <si>
    <t>2019-2020</t>
  </si>
  <si>
    <t>2020-2022</t>
  </si>
  <si>
    <t>2021-2022</t>
  </si>
  <si>
    <t>Opracowanie dokumentacji projektowej na Budowę ścieżki pieszo - rowerowej w ciagu drogi powiatowej Nr 2352B ul. Zwirki i Wigury w Łapach</t>
  </si>
  <si>
    <t>ŚRODKI FINANSOWE PRZEZNACZONE NA INWESTYCJE DROGOWE POWIATU BIAŁOSTOCKIEGO W LATACH 2015 - 2025 
W GMINIE SURAŻ</t>
  </si>
  <si>
    <t>ŚRODKI FINANSOWE PRZEZNACZONE NA INWESTYCJE DROGOWE POWIATU BIAŁOSTOCKIEGO W LATACH 2015 - 2025
W GMINIE ZAWADY</t>
  </si>
  <si>
    <t>Wykonanie map do celów projektowych na zadania inwestycyjne: „Przebudowa z rozbudową drogi powiatowej Nr 1437B Słuczanka – Waliły – Załuki – Sofipol na odcinku od km 0+000 do km 0+949”, „Przebudowa drogi powiatowej Nr 1436B Pieszczaniki – Radunin na odcinku od drogi krajowej Nr 65 do drogi powiatowej Nr 1437B (Gm. Gródek)”, „Przebudowa z rozbudową odcinka drogi powiatowej Nr 1439B Waliły – Stacja – Królowe Stojło (Gm. Gródek)”</t>
  </si>
  <si>
    <t xml:space="preserve">Dokumentacja projektowa na zadanie "Przebudowa z rozbudową drogi powiatowej Nr 1385B na odcinku Gniła - Dobrzyniewo Duze (szkoła)"- budowa sieci kanalizacji deszczowej </t>
  </si>
  <si>
    <t>Opracowanie dokumentacji projektowej na "Przebudowa drogi powiatowej Nr 1512B na odcinku od drogi powiatowej Nr 1484B do wsi Zajączki"- operat wodnoprawny</t>
  </si>
  <si>
    <t xml:space="preserve">Remont nawierzchni drogi powiatowej Nr 1526B poprzez wykonanie warstwy ścieralnej z betonu asfaltowego na odcinku  droga Nr 681 - Grochy </t>
  </si>
  <si>
    <t>Remont odcinka drogi powiatowej Nr 2113B w m. Ogrodniczki, gm. Supraśl</t>
  </si>
  <si>
    <t xml:space="preserve">Remont drogi powiatowej Nr 1429B na odcinku ul. Białostockiej w Grabówce </t>
  </si>
  <si>
    <t>2022-2024</t>
  </si>
  <si>
    <t>Opracowanie dokumentacji projektowej na: Budowę ścieżki rowerowej w ciągu drogi powiatowej Nr 1393B na odcinku Jurowce - Wasilków</t>
  </si>
  <si>
    <t>Opracowanie dokumentacji projektowej na Przebudowę z rozbudową drogi powiatowej na odcinku Kolonia Leńce - Jurowce na terenie Gminy Wasilków</t>
  </si>
  <si>
    <t xml:space="preserve">Budowa wyniesionych skrzyżowań i wyniesionych przejść dla pieszych, drogi dla pieszych i przejścia dla pieszych na terenie Gmin Czarna Białostocka i Wasilków- Poprawa bezpieczeństwa ruchu poprzez przebudowę skrzyżowania ul. Fabrycznej (droga powiatowa Nr 2303B) z ul. Torową (droga powiatowa Nr 2300B) </t>
  </si>
  <si>
    <t xml:space="preserve">Budowa wyniesionych skrzyżowań i wyniesionych przejść dla pieszych, drogi dla pieszych i przejścia dla pieszych na terenie Gmin Czarna Białostocka i Wasilków- Poprawa bezpieczeństwa niechronionych uczestników ruchu poprzez przebudowę drogi dla pieszych wzdłuż drogi powiatowej Nr 2303B - ul. Fabrycznej w Czarnej Białostockiej </t>
  </si>
  <si>
    <t xml:space="preserve">Budowa wyniesionych skrzyżowań i wyniesionych przejść dla pieszych na terenie Obwodu Drogowo - Mostowego w Michałowie – Poprawa bezpieczeństwa niechronionych uczestników ruchu poprzez budowę wyniesionego przejścia dla pieszych w ciągu ul. Białostockiej w Gródku </t>
  </si>
  <si>
    <t>Budowa wyniesionych skrzyżowań i wyniesionych przejść dla pieszych, drogi dla pieszych i oświetlenia przejścia na terenie Obwodu Drogowo-Mostowego w Surażu – Poprawa bezpieczeństwa ruchu poprzez budowę wyniesionego skrzyżowania drogi powiatowej Nr 1483B z drogami powiatowymi Nr 1488B i Nr 1556B w m. Biele</t>
  </si>
  <si>
    <t>Budowa wyniesionych skrzyżowań i wyniesionych przejść dla pieszych, drogi dla pieszych i oświetlenia przejścia na terenie Obwodu Drogowo-Mostowego w Surażu – Poprawa bezpieczeństwa niechronionych uczestników ruchu poprzez oświetlenie przejścia dla pieszych w ciągu drogi powiatowej Nr 1483B w miejscowości Hryniewicze</t>
  </si>
  <si>
    <t>Budowa wyniesionych skrzyżowań i wyniesionych przejść dla pieszych na terenie Obwodu Drogowo - Mostowego w Michałowie – Poprawa bezpieczeństwa niechronionych uczestników ruchu poprzez przebudowę przejścia dla pieszych na skrzyżowaniu ul. Gródeckiej (droga powiatowa Nr 1440B) z ul. Białostocką w Michałowie</t>
  </si>
  <si>
    <t>Budowa wyniesionych skrzyżowań i wyniesionych przejść dla pieszych, drogi dla pieszych i oświetlenia przejścia na terenie Obwodu Drogowo-Mostowego w Surażu – Poprawa bezpieczeństwa ruchu poprzez budowę wyniesionego skrzyżowania ulic Zabłudowskiej, Białostockiej i Zagumiennej w Surażu</t>
  </si>
  <si>
    <t>Budowa wyniesionych skrzyżowań i wyniesionych przejść dla pieszych, drogi dla pieszych na terenie Gmin Choroszcz, Dobrzyniewo Duże, Tykocin- Poprawa bezpieczeństwa niechronionych uczestników ruchu poprzez budowę wyniesionego przejścia dla pieszych na odcinku ul. Holendry w Tykocinie</t>
  </si>
  <si>
    <t>Budowa wyniesionych skrzyżowań i wyniesionych przejść dla pieszych na terenie Obwodu Drogowo - Mostowego w Michałowie – Poprawa bezpieczeństwa niechronionych uczestników ruchu poprzez budowę wniesionego przejścia dla pieszych na skrzyżowaniu ul. Chodkiewicza (droga powiatowa Nr 1470B) z ul. 3 Maja (droga powiatowa Nr 2408B w m. Zabłudów)</t>
  </si>
  <si>
    <t>Budowa wyniesionych skrzyżowań i wyniesionych przejść dla pieszych na terenie Obwodu Drogowo - Mostowego w Michałowie – Poprawa bezpieczeństwa ruchu poprzez budowę wyniesionego skrzyżowania ul. Św. Rocha (droga powiatowa Nr 1488B) z ul. Kalwińską w Zabłudowie.</t>
  </si>
  <si>
    <t>3.	Budowa wyniesionych skrzyżowań i wyniesionych przejść dla pieszych na terenie Obwodu Drogowo - Mostowego w Michałowie – Poprawa bezpieczeństwa ruchu poprzez budowę wyniesionego skrzyżowania ul. Św. Rocha (droga powiatowa Nr 1488B) z ul. Surażską w Zabłudowie</t>
  </si>
  <si>
    <t xml:space="preserve">Remont drogi powiatowej Nr 1448B na odcinku Podozierany – granica Gminy Michałowo </t>
  </si>
  <si>
    <t>ŚRODKI FINANSOWE PRZEZNACZONE NA INWESTYCJE DROGOWE POWIATU BIAŁOSTOCKIEGO W LATACH 2015 - 2025
W GMINIE SUPRAŚL</t>
  </si>
  <si>
    <t>ŚRODKI FINANSOWE PRZEZNACZONE NA INWESTYCJE DROGOWE POWIATU BIAŁOSTOCKIEGO W LATACH 2015 - 2025 
W GMINIE TUROŚN KOŚCIELNA</t>
  </si>
  <si>
    <t>ŚRODKI FINANSOWE PRZEZNACZONE NA INWESTYCJE DROGOWE POWIATU BIAŁOSTOCKIEGO W LATACH 2015 - 2025 
W GMINIE TYKOCIN</t>
  </si>
  <si>
    <t>ŚRODKI FINANSOWE PRZEZNACZONE NA INWESTYCJE DROGOWE POWIATU BIAŁOSTOCKIEGO W LATACH 2015 - 2025 
W GMINIE WASILKÓW</t>
  </si>
  <si>
    <t>ŚRODKI FINANSOWE PRZEZNACZONE NA INWESTYCJE DROGOWE POWIATU BIAŁOSTOCKIEGO W LATACH 2015 - 2025 
W GMINIE ZABŁUDÓW</t>
  </si>
  <si>
    <t>Opracowanie dokumentacji projektowej na: Przebududowę drogi powiatowej Nr 1287B Bobrowniki- Chomontowce</t>
  </si>
  <si>
    <t>Przebudowa drogi powiatowej Nr 1393B na odcinku Leńce - Jurowce- aktualizacja dokumentacji projektowej</t>
  </si>
  <si>
    <t>Opracowanie dokumentacji na Usprawnienie odwodnienia w miejscowości Kołodno w ciągu drogi powiatowej Nr 1433B</t>
  </si>
  <si>
    <t>Przebudowa drogi powiatowej Nr 1440B polegająca na budowie chodnika na odcinku od ul. Dworcowej w Waliłach-Stacji do przejazdu kolejowego- opracowanie dokumnetacji</t>
  </si>
  <si>
    <t>Przebudowa z rozbudową drogi powiatowej Nr 1444B przejście przez miejscowość Sokole- dokumnentacja projektowa</t>
  </si>
  <si>
    <t>Budowa przejścia dla pieszych i utwardzonych do niego dojść w pasie drogowym drogi powiatowej Nr 1483B w m. Lewickie- dokumentacja projektowa</t>
  </si>
  <si>
    <t>Przebudowa skrzyżowania dróg powiatowych Nr 1549B i Nr 1550B oraz drogi gminnej Nr 6266B w m. Klepacze- dokumnetacja projektowa</t>
  </si>
  <si>
    <t>2024-2025</t>
  </si>
  <si>
    <t>Przebudowa z rozbudową drogi powiatowej Nr 1282B Krynki - Kruszyniany - Łużany - Bobrowniki na odcinku granica powiatu - Łużany - Bobrowniki</t>
  </si>
  <si>
    <t>Budowa ścieżki rowerowej przy drodze powiatowej Nr 1529B Płonka Kościelna- Płonka- Matyski</t>
  </si>
  <si>
    <t>2017/2019</t>
  </si>
  <si>
    <t>Poprawa bezpieczeństwa ruchu poprzez budowę wyniesionego przejścia dla pieszych na skrzyżowaniu ul. 3 Maja (droga powiatowa Nr 1521B) z ul. Żwirki i Wigury (droga powiatowa Nr 2352B) w Łapach                                                                                 Poprawa bezpieczeństwa ruchu poprzez budowę wyniesionego przejścia dla pieszych w Płonce Kościelnej (droga powiatowa Nr 1528B)</t>
  </si>
  <si>
    <t>Przebudowa przepustu w ciągu drogi powiatowej Nr 1291B w miejscowości Woronicze- DOKUMNETACJA PROJEKTOWA NA PRZEBUDOWE PRZEPUSTU</t>
  </si>
  <si>
    <t>Przebudowa przepustu w ciągu drogi powiatowej Nr 1291B w miejscowości Woronicze- WYKONANIE PRZEPUSTU</t>
  </si>
  <si>
    <t>Opracowanie dokumentacji i budowa nowego mostu przez rzekę Narew w miejscowości Doktorce w ciagu drogi powiatowej Nr 1575B wraz z dojazdami- KARTA PRZEDSIĘWZIĘCIA</t>
  </si>
  <si>
    <t>ZROBIĆ JAKO WYKONANA INWESTYCJA JAK OTRZYMAMY DECYZJĘ ŚRODOWISKOWĄ</t>
  </si>
  <si>
    <t>cos może z dofinasowan</t>
  </si>
  <si>
    <t>Przebudowa drogi powiatowej Nr 1484B Niewodnica Nargilewska - Wojszki na odcinku Kudrycze - Wojszki.                                                    Inwestycja realizowana przez Gminę Juchnowiec Kościelny i Zabłudów. Łączna kwota inwestycji wynosiła 12.621.181,42 zł</t>
  </si>
  <si>
    <t>Usprawnienie odwodnienia drogi powiatowej Nr 1444B w miejscowości Sokole</t>
  </si>
  <si>
    <t>2016/2017</t>
  </si>
  <si>
    <t>2022-2023</t>
  </si>
  <si>
    <t>2023-2024</t>
  </si>
  <si>
    <t>2023-2025</t>
  </si>
  <si>
    <t>2021-2023</t>
  </si>
  <si>
    <t>2020-2023</t>
  </si>
  <si>
    <t>2025-2026</t>
  </si>
  <si>
    <t>2018-2025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</si>
</sst>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.00\ _z_ł_-;\-* #,##0.00\ _z_ł_-;_-* &quot;-&quot;??\ _z_ł_-;_-@_-"/>
    <numFmt numFmtId="166" formatCode="0.0%"/>
  </numFmts>
  <fonts count="42" x14ac:knownFonts="1">
    <font>
      <sz val="11"/>
      <color theme="1"/>
      <name val="Calibri"/>
      <family val="2"/>
      <charset val="238"/>
      <scheme val="minor"/>
    </font>
    <font>
      <b/>
      <sz val="16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8"/>
      <name val="Arial"/>
      <family val="2"/>
      <charset val="238"/>
    </font>
    <font>
      <sz val="8"/>
      <color theme="1"/>
      <name val="Tahoma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rgb="FF00B050"/>
      <name val="Arial"/>
      <family val="2"/>
      <charset val="238"/>
    </font>
    <font>
      <sz val="8"/>
      <color rgb="FF00B050"/>
      <name val="Tahoma"/>
      <family val="2"/>
      <charset val="238"/>
    </font>
    <font>
      <sz val="8"/>
      <color rgb="FFFF0000"/>
      <name val="Tahoma"/>
      <family val="2"/>
      <charset val="238"/>
    </font>
    <font>
      <sz val="8"/>
      <color rgb="FFFF0000"/>
      <name val="Arial"/>
      <family val="2"/>
      <charset val="238"/>
    </font>
    <font>
      <sz val="8"/>
      <color rgb="FFFF0000"/>
      <name val="Arial CE"/>
      <charset val="238"/>
    </font>
    <font>
      <sz val="8"/>
      <color rgb="FFFF0000"/>
      <name val="Calibri"/>
      <family val="2"/>
      <charset val="238"/>
      <scheme val="minor"/>
    </font>
    <font>
      <sz val="8"/>
      <color rgb="FF0070C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8"/>
      <color rgb="FF7030A0"/>
      <name val="Tahoma"/>
      <family val="2"/>
      <charset val="238"/>
    </font>
    <font>
      <sz val="11"/>
      <color rgb="FF7030A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Tahoma"/>
      <family val="2"/>
      <charset val="238"/>
    </font>
    <font>
      <b/>
      <sz val="9"/>
      <name val="Tahoma"/>
      <family val="2"/>
      <charset val="238"/>
    </font>
    <font>
      <b/>
      <sz val="9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7.5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8" fillId="6" borderId="0" applyNumberFormat="0" applyBorder="0" applyAlignment="0" applyProtection="0"/>
  </cellStyleXfs>
  <cellXfs count="39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9" fontId="6" fillId="0" borderId="7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9" fontId="6" fillId="0" borderId="7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 wrapText="1"/>
    </xf>
    <xf numFmtId="9" fontId="6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9" fontId="6" fillId="0" borderId="3" xfId="0" applyNumberFormat="1" applyFont="1" applyBorder="1" applyAlignment="1">
      <alignment vertical="center"/>
    </xf>
    <xf numFmtId="9" fontId="6" fillId="0" borderId="2" xfId="0" applyNumberFormat="1" applyFont="1" applyBorder="1" applyAlignment="1">
      <alignment vertical="center"/>
    </xf>
    <xf numFmtId="9" fontId="5" fillId="0" borderId="3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 wrapText="1"/>
    </xf>
    <xf numFmtId="9" fontId="5" fillId="0" borderId="3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/>
    </xf>
    <xf numFmtId="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9" fontId="5" fillId="0" borderId="2" xfId="0" applyNumberFormat="1" applyFont="1" applyBorder="1" applyAlignment="1">
      <alignment vertical="center"/>
    </xf>
    <xf numFmtId="0" fontId="5" fillId="0" borderId="2" xfId="0" quotePrefix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vertical="center" wrapText="1"/>
    </xf>
    <xf numFmtId="2" fontId="0" fillId="0" borderId="0" xfId="0" applyNumberFormat="1"/>
    <xf numFmtId="43" fontId="6" fillId="0" borderId="2" xfId="1" applyFont="1" applyBorder="1" applyAlignment="1">
      <alignment vertical="center"/>
    </xf>
    <xf numFmtId="43" fontId="6" fillId="3" borderId="2" xfId="1" applyFont="1" applyFill="1" applyBorder="1" applyAlignment="1">
      <alignment vertical="center"/>
    </xf>
    <xf numFmtId="43" fontId="6" fillId="3" borderId="2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43" fontId="14" fillId="3" borderId="2" xfId="1" applyFont="1" applyFill="1" applyBorder="1" applyAlignment="1">
      <alignment vertical="center"/>
    </xf>
    <xf numFmtId="0" fontId="10" fillId="0" borderId="0" xfId="0" applyFont="1"/>
    <xf numFmtId="3" fontId="13" fillId="0" borderId="2" xfId="0" applyNumberFormat="1" applyFont="1" applyBorder="1" applyAlignment="1">
      <alignment vertical="center" wrapText="1"/>
    </xf>
    <xf numFmtId="43" fontId="0" fillId="0" borderId="0" xfId="1" applyFont="1"/>
    <xf numFmtId="43" fontId="5" fillId="0" borderId="2" xfId="1" applyFont="1" applyBorder="1" applyAlignment="1">
      <alignment horizontal="center" vertical="center"/>
    </xf>
    <xf numFmtId="9" fontId="14" fillId="0" borderId="2" xfId="0" applyNumberFormat="1" applyFont="1" applyBorder="1" applyAlignment="1">
      <alignment vertical="center" wrapText="1"/>
    </xf>
    <xf numFmtId="0" fontId="3" fillId="0" borderId="2" xfId="1" applyNumberFormat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6" fillId="3" borderId="3" xfId="1" applyFont="1" applyFill="1" applyBorder="1" applyAlignment="1">
      <alignment vertical="center"/>
    </xf>
    <xf numFmtId="43" fontId="6" fillId="3" borderId="3" xfId="1" applyFont="1" applyFill="1" applyBorder="1" applyAlignment="1">
      <alignment vertical="center" wrapText="1"/>
    </xf>
    <xf numFmtId="0" fontId="18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12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4" fontId="12" fillId="0" borderId="0" xfId="0" applyNumberFormat="1" applyFont="1" applyAlignment="1">
      <alignment vertical="center"/>
    </xf>
    <xf numFmtId="4" fontId="10" fillId="0" borderId="0" xfId="0" applyNumberFormat="1" applyFont="1" applyAlignment="1">
      <alignment horizontal="center" vertical="center"/>
    </xf>
    <xf numFmtId="4" fontId="0" fillId="0" borderId="0" xfId="0" applyNumberFormat="1"/>
    <xf numFmtId="0" fontId="4" fillId="0" borderId="2" xfId="0" applyFont="1" applyBorder="1" applyAlignment="1">
      <alignment horizontal="center" vertical="center"/>
    </xf>
    <xf numFmtId="43" fontId="13" fillId="3" borderId="3" xfId="1" applyFont="1" applyFill="1" applyBorder="1" applyAlignment="1">
      <alignment vertical="center" wrapText="1"/>
    </xf>
    <xf numFmtId="9" fontId="14" fillId="0" borderId="3" xfId="0" applyNumberFormat="1" applyFont="1" applyBorder="1" applyAlignment="1">
      <alignment vertical="center" wrapText="1"/>
    </xf>
    <xf numFmtId="0" fontId="16" fillId="0" borderId="1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3" fontId="4" fillId="0" borderId="2" xfId="1" applyFont="1" applyBorder="1" applyAlignment="1">
      <alignment vertical="center"/>
    </xf>
    <xf numFmtId="43" fontId="4" fillId="3" borderId="2" xfId="1" applyFont="1" applyFill="1" applyBorder="1" applyAlignment="1">
      <alignment vertical="center"/>
    </xf>
    <xf numFmtId="9" fontId="4" fillId="0" borderId="2" xfId="1" applyNumberFormat="1" applyFont="1" applyBorder="1" applyAlignment="1">
      <alignment horizontal="right" vertical="center"/>
    </xf>
    <xf numFmtId="43" fontId="4" fillId="3" borderId="2" xfId="1" applyFont="1" applyFill="1" applyBorder="1" applyAlignment="1">
      <alignment vertical="center" wrapText="1"/>
    </xf>
    <xf numFmtId="9" fontId="4" fillId="0" borderId="2" xfId="1" applyNumberFormat="1" applyFont="1" applyBorder="1" applyAlignment="1">
      <alignment vertical="center" wrapText="1"/>
    </xf>
    <xf numFmtId="9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43" fontId="4" fillId="3" borderId="3" xfId="1" applyFont="1" applyFill="1" applyBorder="1" applyAlignment="1">
      <alignment vertical="center"/>
    </xf>
    <xf numFmtId="43" fontId="4" fillId="3" borderId="3" xfId="1" applyFont="1" applyFill="1" applyBorder="1" applyAlignment="1">
      <alignment vertical="center" wrapText="1"/>
    </xf>
    <xf numFmtId="9" fontId="3" fillId="0" borderId="3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43" fontId="3" fillId="3" borderId="3" xfId="1" applyFont="1" applyFill="1" applyBorder="1" applyAlignment="1">
      <alignment vertical="center"/>
    </xf>
    <xf numFmtId="9" fontId="3" fillId="0" borderId="3" xfId="0" applyNumberFormat="1" applyFont="1" applyBorder="1" applyAlignment="1">
      <alignment vertical="center"/>
    </xf>
    <xf numFmtId="43" fontId="3" fillId="3" borderId="3" xfId="1" applyFont="1" applyFill="1" applyBorder="1" applyAlignment="1">
      <alignment vertical="center" wrapText="1"/>
    </xf>
    <xf numFmtId="3" fontId="3" fillId="0" borderId="3" xfId="0" applyNumberFormat="1" applyFont="1" applyBorder="1" applyAlignment="1">
      <alignment vertical="center"/>
    </xf>
    <xf numFmtId="9" fontId="4" fillId="0" borderId="2" xfId="0" applyNumberFormat="1" applyFont="1" applyBorder="1" applyAlignment="1">
      <alignment vertical="center" wrapText="1"/>
    </xf>
    <xf numFmtId="43" fontId="4" fillId="0" borderId="3" xfId="1" applyFont="1" applyBorder="1" applyAlignment="1">
      <alignment vertical="center"/>
    </xf>
    <xf numFmtId="9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9" fontId="3" fillId="0" borderId="2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9" fontId="4" fillId="0" borderId="3" xfId="0" applyNumberFormat="1" applyFont="1" applyBorder="1" applyAlignment="1">
      <alignment vertical="center" wrapText="1"/>
    </xf>
    <xf numFmtId="43" fontId="4" fillId="3" borderId="2" xfId="1" applyFont="1" applyFill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165" fontId="0" fillId="0" borderId="0" xfId="0" applyNumberFormat="1"/>
    <xf numFmtId="3" fontId="4" fillId="0" borderId="2" xfId="0" applyNumberFormat="1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165" fontId="12" fillId="0" borderId="0" xfId="0" applyNumberFormat="1" applyFont="1" applyAlignment="1">
      <alignment vertical="center"/>
    </xf>
    <xf numFmtId="0" fontId="23" fillId="2" borderId="0" xfId="0" applyFont="1" applyFill="1"/>
    <xf numFmtId="43" fontId="22" fillId="2" borderId="0" xfId="1" applyFont="1" applyFill="1" applyBorder="1" applyAlignment="1">
      <alignment vertical="center"/>
    </xf>
    <xf numFmtId="9" fontId="22" fillId="2" borderId="0" xfId="0" applyNumberFormat="1" applyFont="1" applyFill="1" applyAlignment="1">
      <alignment vertical="center"/>
    </xf>
    <xf numFmtId="43" fontId="22" fillId="2" borderId="0" xfId="1" applyFont="1" applyFill="1" applyBorder="1" applyAlignment="1">
      <alignment vertical="center" wrapText="1"/>
    </xf>
    <xf numFmtId="0" fontId="0" fillId="2" borderId="0" xfId="0" applyFill="1"/>
    <xf numFmtId="9" fontId="4" fillId="0" borderId="3" xfId="1" applyNumberFormat="1" applyFont="1" applyBorder="1" applyAlignment="1">
      <alignment horizontal="right" vertical="center"/>
    </xf>
    <xf numFmtId="9" fontId="4" fillId="0" borderId="3" xfId="1" applyNumberFormat="1" applyFont="1" applyBorder="1" applyAlignment="1">
      <alignment vertical="center" wrapText="1"/>
    </xf>
    <xf numFmtId="0" fontId="24" fillId="0" borderId="0" xfId="0" applyFont="1" applyAlignment="1">
      <alignment wrapText="1"/>
    </xf>
    <xf numFmtId="43" fontId="4" fillId="2" borderId="3" xfId="1" applyFont="1" applyFill="1" applyBorder="1" applyAlignment="1">
      <alignment vertical="center"/>
    </xf>
    <xf numFmtId="0" fontId="20" fillId="0" borderId="0" xfId="0" applyFont="1" applyAlignment="1">
      <alignment wrapText="1"/>
    </xf>
    <xf numFmtId="43" fontId="4" fillId="0" borderId="2" xfId="1" applyFont="1" applyBorder="1" applyAlignment="1">
      <alignment horizontal="center" vertical="center"/>
    </xf>
    <xf numFmtId="9" fontId="3" fillId="0" borderId="2" xfId="0" applyNumberFormat="1" applyFont="1" applyBorder="1" applyAlignment="1">
      <alignment vertical="center" wrapText="1"/>
    </xf>
    <xf numFmtId="9" fontId="4" fillId="0" borderId="2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/>
    </xf>
    <xf numFmtId="9" fontId="4" fillId="0" borderId="7" xfId="0" applyNumberFormat="1" applyFont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165" fontId="13" fillId="0" borderId="0" xfId="0" applyNumberFormat="1" applyFont="1" applyAlignment="1">
      <alignment vertical="center"/>
    </xf>
    <xf numFmtId="43" fontId="3" fillId="3" borderId="8" xfId="1" applyFont="1" applyFill="1" applyBorder="1" applyAlignment="1">
      <alignment horizontal="center" vertical="center"/>
    </xf>
    <xf numFmtId="43" fontId="3" fillId="3" borderId="8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65" fontId="10" fillId="0" borderId="0" xfId="0" applyNumberFormat="1" applyFont="1"/>
    <xf numFmtId="9" fontId="4" fillId="0" borderId="8" xfId="0" applyNumberFormat="1" applyFont="1" applyBorder="1" applyAlignment="1">
      <alignment horizontal="center" vertical="center"/>
    </xf>
    <xf numFmtId="9" fontId="4" fillId="0" borderId="8" xfId="0" applyNumberFormat="1" applyFont="1" applyBorder="1" applyAlignment="1">
      <alignment horizontal="center" vertical="center" wrapText="1"/>
    </xf>
    <xf numFmtId="43" fontId="4" fillId="3" borderId="8" xfId="1" applyFont="1" applyFill="1" applyBorder="1" applyAlignment="1">
      <alignment horizontal="center" vertical="center"/>
    </xf>
    <xf numFmtId="43" fontId="3" fillId="3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43" fontId="3" fillId="3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vertical="center" wrapText="1"/>
    </xf>
    <xf numFmtId="43" fontId="0" fillId="2" borderId="0" xfId="1" applyFont="1" applyFill="1"/>
    <xf numFmtId="0" fontId="3" fillId="2" borderId="2" xfId="1" applyNumberFormat="1" applyFont="1" applyFill="1" applyBorder="1" applyAlignment="1">
      <alignment horizontal="center" vertical="center"/>
    </xf>
    <xf numFmtId="43" fontId="4" fillId="2" borderId="2" xfId="1" applyFont="1" applyFill="1" applyBorder="1" applyAlignment="1">
      <alignment vertical="center"/>
    </xf>
    <xf numFmtId="43" fontId="5" fillId="2" borderId="2" xfId="1" applyFont="1" applyFill="1" applyBorder="1" applyAlignment="1">
      <alignment horizontal="center" vertical="center"/>
    </xf>
    <xf numFmtId="43" fontId="4" fillId="0" borderId="8" xfId="1" applyFont="1" applyBorder="1" applyAlignment="1">
      <alignment vertical="center"/>
    </xf>
    <xf numFmtId="43" fontId="4" fillId="0" borderId="3" xfId="1" applyFont="1" applyBorder="1" applyAlignment="1">
      <alignment vertical="center" wrapText="1"/>
    </xf>
    <xf numFmtId="4" fontId="27" fillId="0" borderId="2" xfId="0" applyNumberFormat="1" applyFont="1" applyBorder="1" applyAlignment="1">
      <alignment horizontal="center" vertical="center"/>
    </xf>
    <xf numFmtId="9" fontId="27" fillId="0" borderId="2" xfId="2" applyFont="1" applyBorder="1" applyAlignment="1">
      <alignment horizontal="center" vertical="center"/>
    </xf>
    <xf numFmtId="9" fontId="28" fillId="0" borderId="2" xfId="0" applyNumberFormat="1" applyFont="1" applyBorder="1" applyAlignment="1">
      <alignment horizontal="center" vertical="center"/>
    </xf>
    <xf numFmtId="9" fontId="28" fillId="0" borderId="2" xfId="0" applyNumberFormat="1" applyFont="1" applyBorder="1" applyAlignment="1">
      <alignment horizontal="center" vertical="center" wrapText="1"/>
    </xf>
    <xf numFmtId="43" fontId="3" fillId="3" borderId="2" xfId="1" applyFont="1" applyFill="1" applyBorder="1" applyAlignment="1">
      <alignment vertical="center" wrapText="1"/>
    </xf>
    <xf numFmtId="9" fontId="28" fillId="0" borderId="8" xfId="0" applyNumberFormat="1" applyFont="1" applyBorder="1" applyAlignment="1">
      <alignment horizontal="center" vertical="center"/>
    </xf>
    <xf numFmtId="9" fontId="28" fillId="0" borderId="8" xfId="0" applyNumberFormat="1" applyFont="1" applyBorder="1" applyAlignment="1">
      <alignment horizontal="center" vertical="center" wrapText="1"/>
    </xf>
    <xf numFmtId="43" fontId="27" fillId="0" borderId="2" xfId="1" applyFont="1" applyBorder="1" applyAlignment="1">
      <alignment horizontal="center" vertical="center"/>
    </xf>
    <xf numFmtId="9" fontId="28" fillId="0" borderId="2" xfId="0" applyNumberFormat="1" applyFont="1" applyBorder="1" applyAlignment="1">
      <alignment vertical="center"/>
    </xf>
    <xf numFmtId="43" fontId="27" fillId="0" borderId="2" xfId="1" applyFont="1" applyBorder="1"/>
    <xf numFmtId="43" fontId="3" fillId="3" borderId="2" xfId="1" applyFont="1" applyFill="1" applyBorder="1" applyAlignment="1">
      <alignment horizontal="center" vertical="center" wrapText="1"/>
    </xf>
    <xf numFmtId="43" fontId="29" fillId="0" borderId="2" xfId="1" applyFont="1" applyBorder="1" applyAlignment="1">
      <alignment horizontal="center" vertical="center"/>
    </xf>
    <xf numFmtId="9" fontId="29" fillId="0" borderId="2" xfId="0" applyNumberFormat="1" applyFont="1" applyBorder="1" applyAlignment="1">
      <alignment vertical="center"/>
    </xf>
    <xf numFmtId="9" fontId="29" fillId="0" borderId="2" xfId="0" applyNumberFormat="1" applyFont="1" applyBorder="1" applyAlignment="1">
      <alignment vertical="center" wrapText="1"/>
    </xf>
    <xf numFmtId="43" fontId="4" fillId="3" borderId="3" xfId="1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 wrapText="1"/>
    </xf>
    <xf numFmtId="9" fontId="27" fillId="0" borderId="8" xfId="0" applyNumberFormat="1" applyFont="1" applyBorder="1" applyAlignment="1">
      <alignment horizontal="center" vertical="center"/>
    </xf>
    <xf numFmtId="9" fontId="27" fillId="0" borderId="8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9" fontId="6" fillId="0" borderId="2" xfId="2" applyFont="1" applyBorder="1" applyAlignment="1">
      <alignment vertical="center"/>
    </xf>
    <xf numFmtId="9" fontId="6" fillId="0" borderId="2" xfId="2" applyFont="1" applyBorder="1" applyAlignment="1">
      <alignment vertical="center" wrapText="1"/>
    </xf>
    <xf numFmtId="43" fontId="31" fillId="0" borderId="8" xfId="1" applyFont="1" applyBorder="1" applyAlignment="1">
      <alignment horizontal="center" vertical="center"/>
    </xf>
    <xf numFmtId="9" fontId="31" fillId="0" borderId="2" xfId="0" applyNumberFormat="1" applyFont="1" applyBorder="1" applyAlignment="1">
      <alignment vertical="center"/>
    </xf>
    <xf numFmtId="9" fontId="31" fillId="0" borderId="2" xfId="0" applyNumberFormat="1" applyFont="1" applyBorder="1" applyAlignment="1">
      <alignment vertical="center" wrapText="1"/>
    </xf>
    <xf numFmtId="3" fontId="31" fillId="0" borderId="2" xfId="0" applyNumberFormat="1" applyFont="1" applyBorder="1" applyAlignment="1">
      <alignment horizontal="center" vertical="center"/>
    </xf>
    <xf numFmtId="43" fontId="31" fillId="0" borderId="2" xfId="1" applyFont="1" applyBorder="1" applyAlignment="1">
      <alignment horizontal="center" vertical="center"/>
    </xf>
    <xf numFmtId="9" fontId="31" fillId="0" borderId="8" xfId="0" applyNumberFormat="1" applyFont="1" applyBorder="1" applyAlignment="1">
      <alignment vertical="center"/>
    </xf>
    <xf numFmtId="9" fontId="31" fillId="0" borderId="8" xfId="0" applyNumberFormat="1" applyFont="1" applyBorder="1" applyAlignment="1">
      <alignment vertical="center" wrapText="1"/>
    </xf>
    <xf numFmtId="3" fontId="31" fillId="0" borderId="8" xfId="0" applyNumberFormat="1" applyFont="1" applyBorder="1" applyAlignment="1">
      <alignment horizontal="center" vertical="center"/>
    </xf>
    <xf numFmtId="43" fontId="4" fillId="2" borderId="2" xfId="1" applyFont="1" applyFill="1" applyBorder="1" applyAlignment="1">
      <alignment horizontal="center" vertical="center"/>
    </xf>
    <xf numFmtId="43" fontId="30" fillId="0" borderId="2" xfId="1" applyFont="1" applyBorder="1" applyAlignment="1">
      <alignment horizontal="center"/>
    </xf>
    <xf numFmtId="9" fontId="2" fillId="0" borderId="8" xfId="2" applyFont="1" applyBorder="1" applyAlignment="1">
      <alignment horizontal="center" vertical="center"/>
    </xf>
    <xf numFmtId="9" fontId="2" fillId="0" borderId="8" xfId="2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/>
    </xf>
    <xf numFmtId="9" fontId="32" fillId="0" borderId="2" xfId="0" applyNumberFormat="1" applyFont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9" fontId="4" fillId="2" borderId="3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9" fontId="4" fillId="2" borderId="3" xfId="0" applyNumberFormat="1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9" fontId="14" fillId="0" borderId="2" xfId="2" applyFont="1" applyBorder="1" applyAlignment="1">
      <alignment vertical="center"/>
    </xf>
    <xf numFmtId="9" fontId="14" fillId="0" borderId="2" xfId="2" applyFont="1" applyBorder="1" applyAlignment="1">
      <alignment vertical="center" wrapText="1"/>
    </xf>
    <xf numFmtId="0" fontId="0" fillId="2" borderId="0" xfId="0" applyFill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9" fontId="3" fillId="2" borderId="3" xfId="0" applyNumberFormat="1" applyFont="1" applyFill="1" applyBorder="1" applyAlignment="1">
      <alignment vertical="center"/>
    </xf>
    <xf numFmtId="9" fontId="3" fillId="2" borderId="3" xfId="0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/>
    </xf>
    <xf numFmtId="3" fontId="3" fillId="2" borderId="3" xfId="0" applyNumberFormat="1" applyFont="1" applyFill="1" applyBorder="1" applyAlignment="1">
      <alignment vertical="center"/>
    </xf>
    <xf numFmtId="43" fontId="4" fillId="3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3" fontId="34" fillId="0" borderId="2" xfId="1" applyFont="1" applyBorder="1" applyAlignment="1">
      <alignment horizontal="center" vertical="center"/>
    </xf>
    <xf numFmtId="3" fontId="34" fillId="0" borderId="2" xfId="0" applyNumberFormat="1" applyFont="1" applyBorder="1" applyAlignment="1">
      <alignment horizontal="center" vertical="center"/>
    </xf>
    <xf numFmtId="9" fontId="35" fillId="0" borderId="2" xfId="0" applyNumberFormat="1" applyFont="1" applyBorder="1" applyAlignment="1">
      <alignment vertical="center"/>
    </xf>
    <xf numFmtId="9" fontId="35" fillId="0" borderId="2" xfId="0" applyNumberFormat="1" applyFont="1" applyBorder="1" applyAlignment="1">
      <alignment vertical="center" wrapText="1"/>
    </xf>
    <xf numFmtId="9" fontId="36" fillId="0" borderId="2" xfId="0" applyNumberFormat="1" applyFont="1" applyBorder="1" applyAlignment="1">
      <alignment vertical="center"/>
    </xf>
    <xf numFmtId="0" fontId="37" fillId="0" borderId="0" xfId="0" applyFont="1"/>
    <xf numFmtId="9" fontId="4" fillId="2" borderId="2" xfId="0" applyNumberFormat="1" applyFont="1" applyFill="1" applyBorder="1" applyAlignment="1">
      <alignment vertical="center"/>
    </xf>
    <xf numFmtId="9" fontId="4" fillId="2" borderId="2" xfId="0" applyNumberFormat="1" applyFont="1" applyFill="1" applyBorder="1" applyAlignment="1">
      <alignment vertical="center" wrapText="1"/>
    </xf>
    <xf numFmtId="0" fontId="25" fillId="2" borderId="0" xfId="0" applyFont="1" applyFill="1" applyAlignment="1">
      <alignment horizontal="center"/>
    </xf>
    <xf numFmtId="43" fontId="14" fillId="0" borderId="3" xfId="1" applyFont="1" applyBorder="1" applyAlignment="1">
      <alignment vertical="center" wrapText="1"/>
    </xf>
    <xf numFmtId="0" fontId="0" fillId="0" borderId="11" xfId="0" applyBorder="1"/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43" fontId="29" fillId="0" borderId="2" xfId="1" applyFont="1" applyBorder="1" applyAlignment="1">
      <alignment horizontal="center"/>
    </xf>
    <xf numFmtId="0" fontId="3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40" fillId="0" borderId="0" xfId="0" applyFont="1"/>
    <xf numFmtId="43" fontId="12" fillId="2" borderId="0" xfId="1" applyFont="1" applyFill="1" applyBorder="1" applyAlignment="1">
      <alignment vertical="center" wrapText="1"/>
    </xf>
    <xf numFmtId="0" fontId="38" fillId="2" borderId="0" xfId="3" applyFill="1"/>
    <xf numFmtId="4" fontId="4" fillId="0" borderId="3" xfId="0" applyNumberFormat="1" applyFont="1" applyBorder="1" applyAlignment="1">
      <alignment vertical="center"/>
    </xf>
    <xf numFmtId="4" fontId="4" fillId="3" borderId="3" xfId="0" applyNumberFormat="1" applyFont="1" applyFill="1" applyBorder="1" applyAlignment="1">
      <alignment vertical="center"/>
    </xf>
    <xf numFmtId="4" fontId="4" fillId="3" borderId="3" xfId="0" applyNumberFormat="1" applyFont="1" applyFill="1" applyBorder="1" applyAlignment="1">
      <alignment vertical="center" wrapText="1"/>
    </xf>
    <xf numFmtId="2" fontId="4" fillId="3" borderId="3" xfId="0" applyNumberFormat="1" applyFont="1" applyFill="1" applyBorder="1" applyAlignment="1">
      <alignment vertical="center"/>
    </xf>
    <xf numFmtId="3" fontId="6" fillId="0" borderId="0" xfId="0" applyNumberFormat="1" applyFont="1" applyAlignment="1">
      <alignment vertical="center"/>
    </xf>
    <xf numFmtId="9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 wrapText="1"/>
    </xf>
    <xf numFmtId="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9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 wrapText="1"/>
    </xf>
    <xf numFmtId="9" fontId="5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vertical="center"/>
    </xf>
    <xf numFmtId="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 wrapText="1"/>
    </xf>
    <xf numFmtId="9" fontId="7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9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/>
    </xf>
    <xf numFmtId="9" fontId="13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 wrapText="1"/>
    </xf>
    <xf numFmtId="9" fontId="13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 wrapText="1"/>
    </xf>
    <xf numFmtId="43" fontId="4" fillId="0" borderId="3" xfId="1" quotePrefix="1" applyFont="1" applyBorder="1" applyAlignment="1">
      <alignment horizontal="center" vertical="center" wrapText="1"/>
    </xf>
    <xf numFmtId="9" fontId="4" fillId="0" borderId="3" xfId="2" quotePrefix="1" applyFont="1" applyBorder="1" applyAlignment="1">
      <alignment horizontal="center" vertical="center" wrapText="1"/>
    </xf>
    <xf numFmtId="0" fontId="41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4" fontId="14" fillId="0" borderId="3" xfId="0" applyNumberFormat="1" applyFont="1" applyBorder="1" applyAlignment="1">
      <alignment vertical="center"/>
    </xf>
    <xf numFmtId="4" fontId="14" fillId="3" borderId="3" xfId="0" applyNumberFormat="1" applyFont="1" applyFill="1" applyBorder="1" applyAlignment="1">
      <alignment vertical="center"/>
    </xf>
    <xf numFmtId="9" fontId="14" fillId="0" borderId="3" xfId="2" applyFont="1" applyBorder="1" applyAlignment="1">
      <alignment vertical="center"/>
    </xf>
    <xf numFmtId="4" fontId="14" fillId="3" borderId="3" xfId="0" applyNumberFormat="1" applyFont="1" applyFill="1" applyBorder="1" applyAlignment="1">
      <alignment vertical="center" wrapText="1"/>
    </xf>
    <xf numFmtId="9" fontId="14" fillId="0" borderId="3" xfId="2" applyFont="1" applyBorder="1" applyAlignment="1">
      <alignment vertical="center" wrapText="1"/>
    </xf>
    <xf numFmtId="3" fontId="1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vertical="center" wrapText="1"/>
    </xf>
    <xf numFmtId="3" fontId="4" fillId="2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 vertical="center"/>
    </xf>
    <xf numFmtId="4" fontId="5" fillId="0" borderId="0" xfId="0" applyNumberFormat="1" applyFont="1" applyAlignment="1">
      <alignment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vertical="center"/>
    </xf>
    <xf numFmtId="166" fontId="4" fillId="0" borderId="3" xfId="0" applyNumberFormat="1" applyFont="1" applyBorder="1" applyAlignment="1">
      <alignment vertical="center" wrapText="1"/>
    </xf>
    <xf numFmtId="43" fontId="4" fillId="2" borderId="8" xfId="1" applyFont="1" applyFill="1" applyBorder="1" applyAlignment="1">
      <alignment horizontal="center" vertical="center"/>
    </xf>
    <xf numFmtId="9" fontId="4" fillId="0" borderId="8" xfId="0" applyNumberFormat="1" applyFont="1" applyBorder="1" applyAlignment="1">
      <alignment horizontal="right" vertical="center"/>
    </xf>
    <xf numFmtId="43" fontId="4" fillId="3" borderId="8" xfId="1" applyFont="1" applyFill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right" vertical="center"/>
    </xf>
    <xf numFmtId="4" fontId="33" fillId="0" borderId="2" xfId="0" applyNumberFormat="1" applyFont="1" applyBorder="1" applyAlignment="1">
      <alignment horizontal="center"/>
    </xf>
    <xf numFmtId="43" fontId="6" fillId="0" borderId="3" xfId="1" applyFont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43" fontId="6" fillId="0" borderId="2" xfId="1" applyFont="1" applyBorder="1" applyAlignment="1">
      <alignment horizontal="center" vertical="center"/>
    </xf>
    <xf numFmtId="43" fontId="6" fillId="3" borderId="2" xfId="1" applyFont="1" applyFill="1" applyBorder="1" applyAlignment="1">
      <alignment horizontal="center" vertical="center"/>
    </xf>
    <xf numFmtId="43" fontId="6" fillId="3" borderId="2" xfId="1" applyFont="1" applyFill="1" applyBorder="1" applyAlignment="1">
      <alignment horizontal="center" vertical="center" wrapText="1"/>
    </xf>
    <xf numFmtId="43" fontId="6" fillId="0" borderId="8" xfId="1" applyFont="1" applyBorder="1" applyAlignment="1">
      <alignment horizontal="center" vertical="center"/>
    </xf>
    <xf numFmtId="43" fontId="6" fillId="3" borderId="8" xfId="1" applyFont="1" applyFill="1" applyBorder="1" applyAlignment="1">
      <alignment horizontal="center" vertical="center"/>
    </xf>
    <xf numFmtId="43" fontId="6" fillId="3" borderId="8" xfId="1" applyFont="1" applyFill="1" applyBorder="1" applyAlignment="1">
      <alignment horizontal="center" vertical="center" wrapText="1"/>
    </xf>
    <xf numFmtId="43" fontId="4" fillId="0" borderId="8" xfId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 wrapText="1"/>
    </xf>
    <xf numFmtId="9" fontId="4" fillId="0" borderId="2" xfId="2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43" fontId="4" fillId="3" borderId="7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3" fontId="2" fillId="0" borderId="7" xfId="1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3" fontId="29" fillId="0" borderId="2" xfId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43" fontId="2" fillId="2" borderId="3" xfId="1" applyFont="1" applyFill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center" vertical="center" wrapText="1"/>
    </xf>
    <xf numFmtId="43" fontId="2" fillId="2" borderId="8" xfId="1" applyFont="1" applyFill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wrapText="1"/>
    </xf>
    <xf numFmtId="43" fontId="2" fillId="0" borderId="6" xfId="1" applyFont="1" applyBorder="1" applyAlignment="1">
      <alignment horizontal="center" vertical="center" wrapText="1"/>
    </xf>
    <xf numFmtId="0" fontId="34" fillId="0" borderId="4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0" fontId="34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vertical="center" wrapText="1"/>
    </xf>
    <xf numFmtId="0" fontId="31" fillId="0" borderId="6" xfId="0" applyFont="1" applyBorder="1" applyAlignment="1">
      <alignment vertical="center" wrapText="1"/>
    </xf>
    <xf numFmtId="0" fontId="31" fillId="0" borderId="10" xfId="0" applyFont="1" applyBorder="1" applyAlignment="1">
      <alignment horizontal="right" vertical="center" wrapText="1"/>
    </xf>
    <xf numFmtId="0" fontId="31" fillId="0" borderId="1" xfId="0" applyFont="1" applyBorder="1" applyAlignment="1">
      <alignment horizontal="right" vertical="center" wrapText="1"/>
    </xf>
    <xf numFmtId="0" fontId="31" fillId="0" borderId="9" xfId="0" applyFont="1" applyBorder="1" applyAlignment="1">
      <alignment horizontal="right" vertical="center" wrapText="1"/>
    </xf>
    <xf numFmtId="0" fontId="3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43" fontId="30" fillId="0" borderId="4" xfId="1" applyFont="1" applyBorder="1" applyAlignment="1">
      <alignment horizontal="right" vertical="center" wrapText="1"/>
    </xf>
    <xf numFmtId="43" fontId="30" fillId="0" borderId="5" xfId="1" applyFont="1" applyBorder="1" applyAlignment="1">
      <alignment horizontal="right" vertical="center" wrapText="1"/>
    </xf>
    <xf numFmtId="43" fontId="30" fillId="0" borderId="6" xfId="1" applyFont="1" applyBorder="1" applyAlignment="1">
      <alignment horizontal="right" vertical="center" wrapText="1"/>
    </xf>
    <xf numFmtId="0" fontId="33" fillId="0" borderId="4" xfId="0" applyFont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3" fillId="0" borderId="6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43" fontId="27" fillId="0" borderId="4" xfId="1" applyFont="1" applyBorder="1" applyAlignment="1">
      <alignment horizontal="right" vertical="center" wrapText="1"/>
    </xf>
    <xf numFmtId="43" fontId="27" fillId="0" borderId="5" xfId="1" applyFont="1" applyBorder="1" applyAlignment="1">
      <alignment horizontal="right" vertical="center" wrapText="1"/>
    </xf>
    <xf numFmtId="43" fontId="27" fillId="0" borderId="6" xfId="1" applyFont="1" applyBorder="1" applyAlignment="1">
      <alignment horizontal="right" vertical="center" wrapText="1"/>
    </xf>
    <xf numFmtId="43" fontId="2" fillId="0" borderId="5" xfId="1" applyFont="1" applyBorder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26" fillId="0" borderId="2" xfId="0" applyFont="1" applyBorder="1" applyAlignment="1">
      <alignment horizontal="right" vertical="center" wrapText="1"/>
    </xf>
  </cellXfs>
  <cellStyles count="4">
    <cellStyle name="Dziesiętny" xfId="1" builtinId="3"/>
    <cellStyle name="Neutralny" xfId="3" builtinId="28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leksandra Lingo" id="{67365820-248B-4E3C-B933-E6B217DB8193}" userId="S-1-5-21-3585415215-161255944-3976383249-1221" providerId="AD"/>
</personList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5" dT="2026-03-25T11:49:13.38" personId="{67365820-248B-4E3C-B933-E6B217DB8193}" id="{ACCFDBDD-92C1-4F33-8F72-A8D27E048046}">
    <text>Usunać ale sobie skopiować dla pamieci żeby jak się skończy i dostaniemy decyzje środowiskową żeby dopisać do tego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5"/>
  <sheetViews>
    <sheetView view="pageBreakPreview" topLeftCell="A10" zoomScale="60" zoomScaleNormal="85" workbookViewId="0">
      <selection activeCell="L12" sqref="L12"/>
    </sheetView>
  </sheetViews>
  <sheetFormatPr defaultRowHeight="15" x14ac:dyDescent="0.25"/>
  <cols>
    <col min="1" max="1" width="9.140625" style="214"/>
    <col min="2" max="2" width="18.140625" style="50" customWidth="1"/>
    <col min="3" max="3" width="45.140625" customWidth="1"/>
    <col min="4" max="4" width="16" style="159" customWidth="1"/>
    <col min="5" max="5" width="12.7109375" style="54" customWidth="1"/>
    <col min="6" max="6" width="15.28515625" style="54" customWidth="1"/>
    <col min="7" max="7" width="12.7109375" style="54" customWidth="1"/>
    <col min="8" max="8" width="14.28515625" style="54" customWidth="1"/>
    <col min="9" max="9" width="13.140625" style="54" customWidth="1"/>
    <col min="10" max="10" width="13.85546875" style="54" customWidth="1"/>
    <col min="11" max="11" width="15" style="46" customWidth="1"/>
    <col min="12" max="12" width="17.85546875" style="50" customWidth="1"/>
    <col min="13" max="13" width="2.140625" customWidth="1"/>
    <col min="14" max="14" width="11.85546875" customWidth="1"/>
    <col min="15" max="18" width="15.85546875" customWidth="1"/>
    <col min="19" max="19" width="16" customWidth="1"/>
    <col min="21" max="21" width="15.28515625" customWidth="1"/>
    <col min="23" max="23" width="14.28515625" customWidth="1"/>
    <col min="24" max="24" width="11.42578125" customWidth="1"/>
    <col min="26" max="26" width="15" customWidth="1"/>
    <col min="27" max="27" width="17.85546875" customWidth="1"/>
  </cols>
  <sheetData>
    <row r="1" spans="1:27" x14ac:dyDescent="0.25">
      <c r="K1"/>
    </row>
    <row r="2" spans="1:27" x14ac:dyDescent="0.25">
      <c r="K2"/>
    </row>
    <row r="3" spans="1:27" ht="86.25" customHeight="1" x14ac:dyDescent="0.25">
      <c r="A3" s="338" t="s">
        <v>203</v>
      </c>
      <c r="B3" s="338"/>
      <c r="C3" s="338"/>
      <c r="D3" s="338"/>
      <c r="E3" s="338"/>
      <c r="F3" s="338"/>
      <c r="G3" s="338"/>
      <c r="H3" s="338"/>
      <c r="I3" s="338"/>
      <c r="J3" s="338"/>
      <c r="K3" s="339"/>
      <c r="L3" s="339"/>
      <c r="M3" s="62"/>
      <c r="N3" s="62"/>
    </row>
    <row r="4" spans="1:27" x14ac:dyDescent="0.25">
      <c r="A4" s="340" t="s">
        <v>0</v>
      </c>
      <c r="B4" s="343" t="s">
        <v>1</v>
      </c>
      <c r="C4" s="346" t="s">
        <v>2</v>
      </c>
      <c r="D4" s="361" t="s">
        <v>3</v>
      </c>
      <c r="E4" s="352" t="s">
        <v>4</v>
      </c>
      <c r="F4" s="353"/>
      <c r="G4" s="353"/>
      <c r="H4" s="353"/>
      <c r="I4" s="353"/>
      <c r="J4" s="353"/>
      <c r="K4" s="354"/>
      <c r="L4" s="346" t="s">
        <v>5</v>
      </c>
      <c r="M4" s="63"/>
      <c r="N4" s="63"/>
      <c r="S4" s="356"/>
      <c r="T4" s="356"/>
      <c r="U4" s="356"/>
      <c r="V4" s="356"/>
      <c r="W4" s="356"/>
      <c r="X4" s="356"/>
      <c r="Y4" s="356"/>
      <c r="Z4" s="356"/>
      <c r="AA4" s="356"/>
    </row>
    <row r="5" spans="1:27" ht="30" customHeight="1" x14ac:dyDescent="0.25">
      <c r="A5" s="341"/>
      <c r="B5" s="344"/>
      <c r="C5" s="347"/>
      <c r="D5" s="362"/>
      <c r="E5" s="364" t="s">
        <v>6</v>
      </c>
      <c r="F5" s="365"/>
      <c r="G5" s="364" t="s">
        <v>7</v>
      </c>
      <c r="H5" s="365"/>
      <c r="I5" s="352" t="s">
        <v>8</v>
      </c>
      <c r="J5" s="353"/>
      <c r="K5" s="354"/>
      <c r="L5" s="347"/>
      <c r="M5" s="63"/>
      <c r="N5" s="63"/>
      <c r="S5" s="356"/>
      <c r="T5" s="356"/>
      <c r="U5" s="356"/>
      <c r="V5" s="356"/>
      <c r="W5" s="356"/>
      <c r="X5" s="356"/>
      <c r="Y5" s="356"/>
      <c r="Z5" s="356"/>
      <c r="AA5" s="356"/>
    </row>
    <row r="6" spans="1:27" ht="15" customHeight="1" x14ac:dyDescent="0.25">
      <c r="A6" s="341"/>
      <c r="B6" s="344"/>
      <c r="C6" s="347"/>
      <c r="D6" s="362"/>
      <c r="E6" s="349" t="s">
        <v>9</v>
      </c>
      <c r="F6" s="349" t="s">
        <v>10</v>
      </c>
      <c r="G6" s="349" t="s">
        <v>9</v>
      </c>
      <c r="H6" s="349" t="s">
        <v>10</v>
      </c>
      <c r="I6" s="349" t="s">
        <v>11</v>
      </c>
      <c r="J6" s="349" t="s">
        <v>12</v>
      </c>
      <c r="K6" s="346" t="s">
        <v>10</v>
      </c>
      <c r="L6" s="347"/>
      <c r="M6" s="63"/>
      <c r="N6" s="63"/>
      <c r="S6" s="356"/>
      <c r="T6" s="356"/>
      <c r="U6" s="356"/>
      <c r="V6" s="356"/>
      <c r="W6" s="356"/>
      <c r="X6" s="356"/>
      <c r="Y6" s="356"/>
      <c r="Z6" s="356"/>
      <c r="AA6" s="356"/>
    </row>
    <row r="7" spans="1:27" ht="35.25" customHeight="1" x14ac:dyDescent="0.25">
      <c r="A7" s="342"/>
      <c r="B7" s="345"/>
      <c r="C7" s="348"/>
      <c r="D7" s="363"/>
      <c r="E7" s="351"/>
      <c r="F7" s="351"/>
      <c r="G7" s="351"/>
      <c r="H7" s="351"/>
      <c r="I7" s="351"/>
      <c r="J7" s="351"/>
      <c r="K7" s="348"/>
      <c r="L7" s="348"/>
      <c r="M7" s="63"/>
      <c r="N7" s="63"/>
      <c r="P7" s="357"/>
      <c r="S7" s="356"/>
      <c r="T7" s="356"/>
      <c r="U7" s="356"/>
      <c r="V7" s="356"/>
      <c r="W7" s="356"/>
      <c r="X7" s="356"/>
      <c r="Y7" s="356"/>
      <c r="Z7" s="356"/>
      <c r="AA7" s="356"/>
    </row>
    <row r="8" spans="1:27" x14ac:dyDescent="0.25">
      <c r="A8" s="185">
        <v>1</v>
      </c>
      <c r="B8" s="1">
        <v>2</v>
      </c>
      <c r="C8" s="2">
        <v>3</v>
      </c>
      <c r="D8" s="160">
        <v>4</v>
      </c>
      <c r="E8" s="57">
        <v>5</v>
      </c>
      <c r="F8" s="57">
        <v>6</v>
      </c>
      <c r="G8" s="57">
        <v>7</v>
      </c>
      <c r="H8" s="57">
        <v>8</v>
      </c>
      <c r="I8" s="57">
        <v>9</v>
      </c>
      <c r="J8" s="57">
        <v>10</v>
      </c>
      <c r="K8" s="1">
        <v>11</v>
      </c>
      <c r="L8" s="1">
        <v>12</v>
      </c>
      <c r="M8" s="64"/>
      <c r="N8" s="64"/>
      <c r="P8" s="357"/>
      <c r="S8" s="64"/>
      <c r="T8" s="64"/>
      <c r="U8" s="64"/>
      <c r="V8" s="64"/>
      <c r="W8" s="64"/>
      <c r="X8" s="64"/>
      <c r="Y8" s="64"/>
      <c r="Z8" s="64"/>
      <c r="AA8" s="64"/>
    </row>
    <row r="9" spans="1:27" ht="41.25" customHeight="1" x14ac:dyDescent="0.25">
      <c r="A9" s="209">
        <v>1</v>
      </c>
      <c r="B9" s="81">
        <v>2015</v>
      </c>
      <c r="C9" s="82" t="s">
        <v>13</v>
      </c>
      <c r="D9" s="161">
        <f>E9+G9+I9+J9</f>
        <v>263307.74</v>
      </c>
      <c r="E9" s="84">
        <v>263307.74</v>
      </c>
      <c r="F9" s="85">
        <f>(E9/D9)</f>
        <v>1</v>
      </c>
      <c r="G9" s="86">
        <v>0</v>
      </c>
      <c r="H9" s="87">
        <f>(G9/D9)*100</f>
        <v>0</v>
      </c>
      <c r="I9" s="84">
        <v>0</v>
      </c>
      <c r="J9" s="84">
        <v>0</v>
      </c>
      <c r="K9" s="88">
        <f>(I9+J9)/D9</f>
        <v>0</v>
      </c>
      <c r="L9" s="77" t="s">
        <v>14</v>
      </c>
      <c r="M9" s="65"/>
      <c r="N9" s="73"/>
      <c r="O9" s="73"/>
      <c r="P9" s="357"/>
      <c r="Q9" s="73"/>
      <c r="R9" s="73"/>
      <c r="S9" s="248"/>
      <c r="T9" s="248"/>
      <c r="U9" s="249"/>
      <c r="V9" s="250"/>
      <c r="W9" s="251"/>
      <c r="X9" s="252"/>
      <c r="Y9" s="252"/>
      <c r="Z9" s="249"/>
      <c r="AA9" s="253"/>
    </row>
    <row r="10" spans="1:27" ht="119.25" customHeight="1" x14ac:dyDescent="0.25">
      <c r="A10" s="209">
        <v>2</v>
      </c>
      <c r="B10" s="81">
        <v>2015</v>
      </c>
      <c r="C10" s="89" t="s">
        <v>453</v>
      </c>
      <c r="D10" s="161">
        <v>137923.75</v>
      </c>
      <c r="E10" s="84">
        <f>D10-G10</f>
        <v>68998.149999999994</v>
      </c>
      <c r="F10" s="85">
        <f t="shared" ref="F10:F52" si="0">(E10/D10)</f>
        <v>0.5</v>
      </c>
      <c r="G10" s="86">
        <v>68925.600000000006</v>
      </c>
      <c r="H10" s="87">
        <f>(G10/D10)</f>
        <v>0.5</v>
      </c>
      <c r="I10" s="84">
        <v>0</v>
      </c>
      <c r="J10" s="84">
        <v>0</v>
      </c>
      <c r="K10" s="88">
        <f t="shared" ref="K10:K52" si="1">(I10+J10)/D10</f>
        <v>0</v>
      </c>
      <c r="L10" s="77" t="s">
        <v>14</v>
      </c>
      <c r="M10" s="65"/>
      <c r="N10" s="74"/>
      <c r="O10" s="205"/>
      <c r="P10" s="205"/>
      <c r="Q10" s="204"/>
      <c r="R10" s="75"/>
      <c r="S10" s="254"/>
      <c r="T10" s="254"/>
      <c r="U10" s="255"/>
      <c r="V10" s="256"/>
      <c r="W10" s="257"/>
      <c r="X10" s="258"/>
      <c r="Y10" s="258"/>
      <c r="Z10" s="255"/>
      <c r="AA10" s="259"/>
    </row>
    <row r="11" spans="1:27" ht="27" customHeight="1" x14ac:dyDescent="0.25">
      <c r="A11" s="185">
        <v>3</v>
      </c>
      <c r="B11" s="81">
        <v>2016</v>
      </c>
      <c r="C11" s="82" t="s">
        <v>15</v>
      </c>
      <c r="D11" s="161">
        <f t="shared" ref="D11:D33" si="2">E11+G11+I11+J11</f>
        <v>333535.05</v>
      </c>
      <c r="E11" s="84">
        <v>166767.53</v>
      </c>
      <c r="F11" s="85">
        <f t="shared" si="0"/>
        <v>0.5</v>
      </c>
      <c r="G11" s="86">
        <v>166767.51999999999</v>
      </c>
      <c r="H11" s="87">
        <f t="shared" ref="H11:H52" si="3">(G11/D11)</f>
        <v>0.5</v>
      </c>
      <c r="I11" s="84">
        <v>0</v>
      </c>
      <c r="J11" s="84">
        <v>0</v>
      </c>
      <c r="K11" s="88">
        <f t="shared" si="1"/>
        <v>0</v>
      </c>
      <c r="L11" s="77" t="s">
        <v>14</v>
      </c>
      <c r="M11" s="65"/>
      <c r="N11" s="65"/>
      <c r="S11" s="260"/>
      <c r="T11" s="261"/>
      <c r="U11" s="262"/>
      <c r="V11" s="263"/>
      <c r="W11" s="264"/>
      <c r="X11" s="260"/>
      <c r="Y11" s="265"/>
      <c r="Z11" s="264"/>
      <c r="AA11" s="265"/>
    </row>
    <row r="12" spans="1:27" ht="40.5" customHeight="1" x14ac:dyDescent="0.25">
      <c r="A12" s="209">
        <v>4</v>
      </c>
      <c r="B12" s="81">
        <v>2016</v>
      </c>
      <c r="C12" s="82" t="s">
        <v>501</v>
      </c>
      <c r="D12" s="161">
        <f t="shared" si="2"/>
        <v>38622</v>
      </c>
      <c r="E12" s="84">
        <v>19311</v>
      </c>
      <c r="F12" s="85">
        <f t="shared" si="0"/>
        <v>0.5</v>
      </c>
      <c r="G12" s="86">
        <v>19311</v>
      </c>
      <c r="H12" s="87">
        <f t="shared" si="3"/>
        <v>0.5</v>
      </c>
      <c r="I12" s="84">
        <v>0</v>
      </c>
      <c r="J12" s="84">
        <v>0</v>
      </c>
      <c r="K12" s="88">
        <f t="shared" si="1"/>
        <v>0</v>
      </c>
      <c r="L12" s="77" t="s">
        <v>14</v>
      </c>
      <c r="M12" s="65"/>
      <c r="N12" s="65"/>
      <c r="S12" s="266"/>
      <c r="T12" s="266"/>
      <c r="U12" s="267"/>
      <c r="V12" s="265"/>
      <c r="W12" s="264"/>
      <c r="X12" s="268"/>
      <c r="Y12" s="269"/>
      <c r="Z12" s="270"/>
      <c r="AA12" s="269"/>
    </row>
    <row r="13" spans="1:27" ht="27" customHeight="1" x14ac:dyDescent="0.25">
      <c r="A13" s="209">
        <v>5</v>
      </c>
      <c r="B13" s="81">
        <v>2016</v>
      </c>
      <c r="C13" s="82" t="s">
        <v>17</v>
      </c>
      <c r="D13" s="161">
        <f t="shared" si="2"/>
        <v>392765.39</v>
      </c>
      <c r="E13" s="84">
        <v>196382.7</v>
      </c>
      <c r="F13" s="85">
        <f t="shared" si="0"/>
        <v>0.5</v>
      </c>
      <c r="G13" s="86">
        <v>196382.69</v>
      </c>
      <c r="H13" s="87">
        <f t="shared" si="3"/>
        <v>0.5</v>
      </c>
      <c r="I13" s="84">
        <v>0</v>
      </c>
      <c r="J13" s="84">
        <v>0</v>
      </c>
      <c r="K13" s="88">
        <f t="shared" si="1"/>
        <v>0</v>
      </c>
      <c r="L13" s="77" t="s">
        <v>14</v>
      </c>
      <c r="M13" s="65"/>
      <c r="N13" s="65"/>
      <c r="O13" s="75"/>
      <c r="S13" s="266"/>
      <c r="T13" s="266"/>
      <c r="U13" s="267"/>
      <c r="V13" s="265"/>
      <c r="W13" s="264"/>
      <c r="X13" s="260"/>
      <c r="Y13" s="269"/>
      <c r="Z13" s="270"/>
      <c r="AA13" s="269"/>
    </row>
    <row r="14" spans="1:27" ht="27.75" customHeight="1" x14ac:dyDescent="0.25">
      <c r="A14" s="185">
        <v>6</v>
      </c>
      <c r="B14" s="81">
        <v>2016</v>
      </c>
      <c r="C14" s="82" t="s">
        <v>18</v>
      </c>
      <c r="D14" s="161">
        <f t="shared" si="2"/>
        <v>284568.52</v>
      </c>
      <c r="E14" s="84">
        <v>142284.26</v>
      </c>
      <c r="F14" s="85">
        <f t="shared" si="0"/>
        <v>0.5</v>
      </c>
      <c r="G14" s="86">
        <v>142284.26</v>
      </c>
      <c r="H14" s="87">
        <f t="shared" si="3"/>
        <v>0.5</v>
      </c>
      <c r="I14" s="84">
        <v>0</v>
      </c>
      <c r="J14" s="84">
        <v>0</v>
      </c>
      <c r="K14" s="88">
        <f t="shared" si="1"/>
        <v>0</v>
      </c>
      <c r="L14" s="77" t="s">
        <v>14</v>
      </c>
      <c r="M14" s="65"/>
      <c r="N14" s="65"/>
      <c r="S14" s="266"/>
      <c r="T14" s="260"/>
      <c r="U14" s="262"/>
      <c r="V14" s="265"/>
      <c r="W14" s="264"/>
      <c r="X14" s="260"/>
      <c r="Y14" s="265"/>
      <c r="Z14" s="264"/>
      <c r="AA14" s="265"/>
    </row>
    <row r="15" spans="1:27" ht="51" customHeight="1" x14ac:dyDescent="0.25">
      <c r="A15" s="209">
        <v>7</v>
      </c>
      <c r="B15" s="81">
        <v>2016</v>
      </c>
      <c r="C15" s="82" t="s">
        <v>19</v>
      </c>
      <c r="D15" s="161">
        <f t="shared" si="2"/>
        <v>53330.96</v>
      </c>
      <c r="E15" s="84">
        <v>26665.48</v>
      </c>
      <c r="F15" s="85">
        <f t="shared" si="0"/>
        <v>0.5</v>
      </c>
      <c r="G15" s="86">
        <v>26665.48</v>
      </c>
      <c r="H15" s="87">
        <f t="shared" si="3"/>
        <v>0.5</v>
      </c>
      <c r="I15" s="84">
        <v>0</v>
      </c>
      <c r="J15" s="84">
        <v>0</v>
      </c>
      <c r="K15" s="88">
        <f t="shared" si="1"/>
        <v>0</v>
      </c>
      <c r="L15" s="77" t="s">
        <v>14</v>
      </c>
      <c r="M15" s="65"/>
      <c r="N15" s="65"/>
      <c r="S15" s="269"/>
      <c r="T15" s="265"/>
      <c r="U15" s="264"/>
      <c r="V15" s="265"/>
      <c r="W15" s="264"/>
      <c r="X15" s="265"/>
      <c r="Y15" s="265"/>
      <c r="Z15" s="264"/>
      <c r="AA15" s="265"/>
    </row>
    <row r="16" spans="1:27" ht="39" customHeight="1" x14ac:dyDescent="0.25">
      <c r="A16" s="209">
        <v>8</v>
      </c>
      <c r="B16" s="81">
        <v>2016</v>
      </c>
      <c r="C16" s="89" t="s">
        <v>20</v>
      </c>
      <c r="D16" s="161">
        <f>E16+G16+I16+J16</f>
        <v>75874.350000000006</v>
      </c>
      <c r="E16" s="84">
        <v>37937.18</v>
      </c>
      <c r="F16" s="85">
        <f t="shared" si="0"/>
        <v>0.5</v>
      </c>
      <c r="G16" s="86">
        <v>37937.17</v>
      </c>
      <c r="H16" s="87">
        <f t="shared" si="3"/>
        <v>0.5</v>
      </c>
      <c r="I16" s="84">
        <v>0</v>
      </c>
      <c r="J16" s="84">
        <v>0</v>
      </c>
      <c r="K16" s="88">
        <f t="shared" si="1"/>
        <v>0</v>
      </c>
      <c r="L16" s="77" t="s">
        <v>14</v>
      </c>
      <c r="M16" s="65"/>
      <c r="N16" s="128"/>
      <c r="R16" s="75"/>
      <c r="S16" s="254"/>
      <c r="T16" s="254"/>
      <c r="U16" s="255"/>
      <c r="V16" s="256"/>
      <c r="W16" s="257"/>
      <c r="X16" s="258"/>
      <c r="Y16" s="258"/>
      <c r="Z16" s="255"/>
      <c r="AA16" s="259"/>
    </row>
    <row r="17" spans="1:27" ht="30" customHeight="1" x14ac:dyDescent="0.25">
      <c r="A17" s="185">
        <v>9</v>
      </c>
      <c r="B17" s="81">
        <v>2016</v>
      </c>
      <c r="C17" s="89" t="s">
        <v>21</v>
      </c>
      <c r="D17" s="161">
        <f>E17+G17+I17+J17</f>
        <v>28663.21</v>
      </c>
      <c r="E17" s="84">
        <v>14331.61</v>
      </c>
      <c r="F17" s="85">
        <f t="shared" si="0"/>
        <v>0.5</v>
      </c>
      <c r="G17" s="86">
        <v>14331.6</v>
      </c>
      <c r="H17" s="87">
        <f t="shared" si="3"/>
        <v>0.5</v>
      </c>
      <c r="I17" s="84">
        <v>0</v>
      </c>
      <c r="J17" s="84">
        <v>0</v>
      </c>
      <c r="K17" s="88">
        <f t="shared" si="1"/>
        <v>0</v>
      </c>
      <c r="L17" s="77" t="s">
        <v>14</v>
      </c>
      <c r="M17" s="65"/>
      <c r="N17" s="65"/>
      <c r="R17" s="75"/>
      <c r="S17" s="254"/>
      <c r="T17" s="254"/>
      <c r="U17" s="255"/>
      <c r="V17" s="256"/>
      <c r="W17" s="257"/>
      <c r="X17" s="258"/>
      <c r="Y17" s="258"/>
      <c r="Z17" s="255"/>
      <c r="AA17" s="259"/>
    </row>
    <row r="18" spans="1:27" ht="50.25" customHeight="1" x14ac:dyDescent="0.25">
      <c r="A18" s="209">
        <v>10</v>
      </c>
      <c r="B18" s="81">
        <v>2016</v>
      </c>
      <c r="C18" s="89" t="s">
        <v>22</v>
      </c>
      <c r="D18" s="161">
        <v>18081</v>
      </c>
      <c r="E18" s="84">
        <f>D18-G18</f>
        <v>9040.5</v>
      </c>
      <c r="F18" s="85">
        <f t="shared" si="0"/>
        <v>0.5</v>
      </c>
      <c r="G18" s="86">
        <v>9040.5</v>
      </c>
      <c r="H18" s="87">
        <f t="shared" si="3"/>
        <v>0.5</v>
      </c>
      <c r="I18" s="84">
        <v>0</v>
      </c>
      <c r="J18" s="84">
        <v>0</v>
      </c>
      <c r="K18" s="88">
        <f t="shared" si="1"/>
        <v>0</v>
      </c>
      <c r="L18" s="77" t="s">
        <v>14</v>
      </c>
      <c r="M18" s="65"/>
      <c r="N18" s="65"/>
      <c r="R18" s="75"/>
      <c r="S18" s="254"/>
      <c r="T18" s="254"/>
      <c r="U18" s="255"/>
      <c r="V18" s="256"/>
      <c r="W18" s="257"/>
      <c r="X18" s="258"/>
      <c r="Y18" s="258"/>
      <c r="Z18" s="255"/>
      <c r="AA18" s="259"/>
    </row>
    <row r="19" spans="1:27" ht="30.75" customHeight="1" x14ac:dyDescent="0.25">
      <c r="A19" s="209">
        <v>11</v>
      </c>
      <c r="B19" s="81">
        <v>2016</v>
      </c>
      <c r="C19" s="89" t="s">
        <v>23</v>
      </c>
      <c r="D19" s="161">
        <v>34071</v>
      </c>
      <c r="E19" s="84">
        <f>D19-G19</f>
        <v>17035.5</v>
      </c>
      <c r="F19" s="85">
        <f t="shared" si="0"/>
        <v>0.5</v>
      </c>
      <c r="G19" s="86">
        <v>17035.5</v>
      </c>
      <c r="H19" s="87">
        <f t="shared" si="3"/>
        <v>0.5</v>
      </c>
      <c r="I19" s="84">
        <v>0</v>
      </c>
      <c r="J19" s="84">
        <v>0</v>
      </c>
      <c r="K19" s="88">
        <f t="shared" si="1"/>
        <v>0</v>
      </c>
      <c r="L19" s="77" t="s">
        <v>14</v>
      </c>
      <c r="M19" s="65"/>
      <c r="N19" s="65"/>
      <c r="R19" s="75"/>
      <c r="S19" s="254"/>
      <c r="T19" s="254"/>
      <c r="U19" s="255"/>
      <c r="V19" s="256"/>
      <c r="W19" s="257"/>
      <c r="X19" s="258"/>
      <c r="Y19" s="258"/>
      <c r="Z19" s="255"/>
      <c r="AA19" s="259"/>
    </row>
    <row r="20" spans="1:27" ht="39" customHeight="1" x14ac:dyDescent="0.25">
      <c r="A20" s="185">
        <v>12</v>
      </c>
      <c r="B20" s="81">
        <v>2016</v>
      </c>
      <c r="C20" s="89" t="s">
        <v>202</v>
      </c>
      <c r="D20" s="161">
        <f t="shared" si="2"/>
        <v>9717</v>
      </c>
      <c r="E20" s="84">
        <v>9717</v>
      </c>
      <c r="F20" s="85">
        <f t="shared" si="0"/>
        <v>1</v>
      </c>
      <c r="G20" s="86">
        <v>0</v>
      </c>
      <c r="H20" s="87">
        <f t="shared" si="3"/>
        <v>0</v>
      </c>
      <c r="I20" s="84">
        <v>0</v>
      </c>
      <c r="J20" s="84">
        <v>0</v>
      </c>
      <c r="K20" s="88">
        <f t="shared" si="1"/>
        <v>0</v>
      </c>
      <c r="L20" s="77" t="s">
        <v>14</v>
      </c>
      <c r="M20" s="65"/>
      <c r="N20" s="65"/>
      <c r="S20" s="254"/>
      <c r="T20" s="254"/>
      <c r="U20" s="255"/>
      <c r="V20" s="256"/>
      <c r="W20" s="257"/>
      <c r="X20" s="258"/>
      <c r="Y20" s="258"/>
      <c r="Z20" s="255"/>
      <c r="AA20" s="259"/>
    </row>
    <row r="21" spans="1:27" ht="27" customHeight="1" x14ac:dyDescent="0.25">
      <c r="A21" s="209">
        <v>13</v>
      </c>
      <c r="B21" s="81">
        <v>2016</v>
      </c>
      <c r="C21" s="89" t="s">
        <v>24</v>
      </c>
      <c r="D21" s="161">
        <f t="shared" si="2"/>
        <v>27221</v>
      </c>
      <c r="E21" s="84">
        <v>27221</v>
      </c>
      <c r="F21" s="85">
        <f t="shared" si="0"/>
        <v>1</v>
      </c>
      <c r="G21" s="86">
        <v>0</v>
      </c>
      <c r="H21" s="87">
        <f t="shared" si="3"/>
        <v>0</v>
      </c>
      <c r="I21" s="84">
        <v>0</v>
      </c>
      <c r="J21" s="84">
        <v>0</v>
      </c>
      <c r="K21" s="88">
        <f t="shared" si="1"/>
        <v>0</v>
      </c>
      <c r="L21" s="77" t="s">
        <v>14</v>
      </c>
      <c r="M21" s="65"/>
      <c r="N21" s="65"/>
      <c r="S21" s="254"/>
      <c r="T21" s="254"/>
      <c r="U21" s="255"/>
      <c r="V21" s="256"/>
      <c r="W21" s="257"/>
      <c r="X21" s="258"/>
      <c r="Y21" s="258"/>
      <c r="Z21" s="255"/>
      <c r="AA21" s="259"/>
    </row>
    <row r="22" spans="1:27" ht="37.5" customHeight="1" x14ac:dyDescent="0.25">
      <c r="A22" s="209">
        <v>14</v>
      </c>
      <c r="B22" s="81">
        <v>2017</v>
      </c>
      <c r="C22" s="82" t="s">
        <v>25</v>
      </c>
      <c r="D22" s="161">
        <f>E22+G22+I22+J22</f>
        <v>1060984.97</v>
      </c>
      <c r="E22" s="84">
        <v>530492.49</v>
      </c>
      <c r="F22" s="85">
        <f t="shared" si="0"/>
        <v>0.5</v>
      </c>
      <c r="G22" s="86">
        <v>530492.48</v>
      </c>
      <c r="H22" s="87">
        <f t="shared" si="3"/>
        <v>0.5</v>
      </c>
      <c r="I22" s="84">
        <v>0</v>
      </c>
      <c r="J22" s="84">
        <v>0</v>
      </c>
      <c r="K22" s="88">
        <f t="shared" si="1"/>
        <v>0</v>
      </c>
      <c r="L22" s="77" t="s">
        <v>14</v>
      </c>
      <c r="M22" s="65"/>
      <c r="N22" s="65"/>
      <c r="S22" s="260"/>
      <c r="T22" s="260"/>
      <c r="U22" s="262"/>
      <c r="V22" s="265"/>
      <c r="W22" s="264"/>
      <c r="X22" s="260"/>
      <c r="Y22" s="260"/>
      <c r="Z22" s="262"/>
      <c r="AA22" s="260"/>
    </row>
    <row r="23" spans="1:27" ht="27.75" customHeight="1" x14ac:dyDescent="0.25">
      <c r="A23" s="185">
        <v>15</v>
      </c>
      <c r="B23" s="81">
        <v>2017</v>
      </c>
      <c r="C23" s="158" t="s">
        <v>16</v>
      </c>
      <c r="D23" s="161">
        <f t="shared" si="2"/>
        <v>379774.33</v>
      </c>
      <c r="E23" s="84">
        <v>189887.17</v>
      </c>
      <c r="F23" s="85">
        <f t="shared" si="0"/>
        <v>0.5</v>
      </c>
      <c r="G23" s="86">
        <v>189887.16</v>
      </c>
      <c r="H23" s="87">
        <f t="shared" si="3"/>
        <v>0.5</v>
      </c>
      <c r="I23" s="84">
        <v>0</v>
      </c>
      <c r="J23" s="84">
        <v>0</v>
      </c>
      <c r="K23" s="88">
        <f t="shared" si="1"/>
        <v>0</v>
      </c>
      <c r="L23" s="77" t="s">
        <v>14</v>
      </c>
      <c r="M23" s="65"/>
      <c r="N23" s="65"/>
      <c r="S23" s="260"/>
      <c r="T23" s="260"/>
      <c r="U23" s="262"/>
      <c r="V23" s="265"/>
      <c r="W23" s="264"/>
      <c r="X23" s="260"/>
      <c r="Y23" s="271"/>
      <c r="Z23" s="251"/>
      <c r="AA23" s="271"/>
    </row>
    <row r="24" spans="1:27" ht="45" customHeight="1" x14ac:dyDescent="0.25">
      <c r="A24" s="209">
        <v>16</v>
      </c>
      <c r="B24" s="81">
        <v>2017</v>
      </c>
      <c r="C24" s="82" t="s">
        <v>454</v>
      </c>
      <c r="D24" s="161">
        <f t="shared" si="2"/>
        <v>29000</v>
      </c>
      <c r="E24" s="84">
        <v>14500</v>
      </c>
      <c r="F24" s="85">
        <f t="shared" si="0"/>
        <v>0.5</v>
      </c>
      <c r="G24" s="86">
        <v>14500</v>
      </c>
      <c r="H24" s="87">
        <f t="shared" si="3"/>
        <v>0.5</v>
      </c>
      <c r="I24" s="84">
        <v>0</v>
      </c>
      <c r="J24" s="84">
        <v>0</v>
      </c>
      <c r="K24" s="88">
        <f t="shared" si="1"/>
        <v>0</v>
      </c>
      <c r="L24" s="77" t="s">
        <v>14</v>
      </c>
      <c r="M24" s="65"/>
      <c r="N24" s="65"/>
      <c r="S24" s="248"/>
      <c r="T24" s="248"/>
      <c r="U24" s="249"/>
      <c r="V24" s="250"/>
      <c r="W24" s="251"/>
      <c r="X24" s="252"/>
      <c r="Y24" s="252"/>
      <c r="Z24" s="249"/>
      <c r="AA24" s="252"/>
    </row>
    <row r="25" spans="1:27" ht="62.25" customHeight="1" x14ac:dyDescent="0.25">
      <c r="A25" s="209">
        <v>17</v>
      </c>
      <c r="B25" s="81">
        <v>2017</v>
      </c>
      <c r="C25" s="89" t="s">
        <v>27</v>
      </c>
      <c r="D25" s="161">
        <f t="shared" si="2"/>
        <v>98870.7</v>
      </c>
      <c r="E25" s="84">
        <v>49435.35</v>
      </c>
      <c r="F25" s="85">
        <f t="shared" si="0"/>
        <v>0.5</v>
      </c>
      <c r="G25" s="86">
        <v>49435.35</v>
      </c>
      <c r="H25" s="87">
        <f t="shared" si="3"/>
        <v>0.5</v>
      </c>
      <c r="I25" s="84">
        <v>0</v>
      </c>
      <c r="J25" s="84">
        <v>0</v>
      </c>
      <c r="K25" s="88">
        <f t="shared" si="1"/>
        <v>0</v>
      </c>
      <c r="L25" s="77" t="s">
        <v>14</v>
      </c>
      <c r="M25" s="65"/>
      <c r="N25" s="65"/>
      <c r="S25" s="72"/>
      <c r="T25" s="72"/>
      <c r="U25" s="272"/>
      <c r="V25" s="273"/>
      <c r="W25" s="274"/>
      <c r="X25" s="72"/>
      <c r="Y25" s="72"/>
      <c r="Z25" s="272"/>
      <c r="AA25" s="259"/>
    </row>
    <row r="26" spans="1:27" ht="36" customHeight="1" x14ac:dyDescent="0.25">
      <c r="A26" s="185">
        <v>18</v>
      </c>
      <c r="B26" s="81">
        <v>2017</v>
      </c>
      <c r="C26" s="89" t="s">
        <v>28</v>
      </c>
      <c r="D26" s="161">
        <f t="shared" si="2"/>
        <v>57327</v>
      </c>
      <c r="E26" s="84">
        <v>28663.5</v>
      </c>
      <c r="F26" s="85">
        <f t="shared" si="0"/>
        <v>0.5</v>
      </c>
      <c r="G26" s="86">
        <v>28663.5</v>
      </c>
      <c r="H26" s="87">
        <f t="shared" si="3"/>
        <v>0.5</v>
      </c>
      <c r="I26" s="84">
        <v>0</v>
      </c>
      <c r="J26" s="84">
        <v>0</v>
      </c>
      <c r="K26" s="88">
        <f t="shared" si="1"/>
        <v>0</v>
      </c>
      <c r="L26" s="77" t="s">
        <v>14</v>
      </c>
      <c r="M26" s="65"/>
      <c r="N26" s="65"/>
      <c r="S26" s="72"/>
      <c r="T26" s="72"/>
      <c r="U26" s="272"/>
      <c r="V26" s="273"/>
      <c r="W26" s="274"/>
      <c r="X26" s="72"/>
      <c r="Y26" s="72"/>
      <c r="Z26" s="272"/>
      <c r="AA26" s="259"/>
    </row>
    <row r="27" spans="1:27" ht="29.25" customHeight="1" x14ac:dyDescent="0.25">
      <c r="A27" s="209">
        <v>19</v>
      </c>
      <c r="B27" s="81">
        <v>2018</v>
      </c>
      <c r="C27" s="89" t="s">
        <v>29</v>
      </c>
      <c r="D27" s="161">
        <f t="shared" si="2"/>
        <v>2922254.05</v>
      </c>
      <c r="E27" s="84">
        <v>975754.26</v>
      </c>
      <c r="F27" s="85">
        <f t="shared" si="0"/>
        <v>0.33</v>
      </c>
      <c r="G27" s="86">
        <v>975754.26</v>
      </c>
      <c r="H27" s="87">
        <f t="shared" si="3"/>
        <v>0.33</v>
      </c>
      <c r="I27" s="84">
        <v>0</v>
      </c>
      <c r="J27" s="84">
        <v>970745.53</v>
      </c>
      <c r="K27" s="88">
        <f t="shared" si="1"/>
        <v>0.33</v>
      </c>
      <c r="L27" s="77" t="s">
        <v>14</v>
      </c>
      <c r="M27" s="65"/>
      <c r="N27" s="65"/>
      <c r="O27" s="52"/>
      <c r="P27" s="52"/>
      <c r="Q27" s="52"/>
      <c r="R27" s="52"/>
      <c r="S27" s="275"/>
      <c r="T27" s="275"/>
      <c r="U27" s="276"/>
      <c r="V27" s="277"/>
      <c r="W27" s="278"/>
      <c r="X27" s="275"/>
      <c r="Y27" s="275"/>
      <c r="Z27" s="276"/>
      <c r="AA27" s="259"/>
    </row>
    <row r="28" spans="1:27" ht="23.25" customHeight="1" x14ac:dyDescent="0.25">
      <c r="A28" s="209">
        <v>20</v>
      </c>
      <c r="B28" s="81">
        <v>2018</v>
      </c>
      <c r="C28" s="89" t="s">
        <v>30</v>
      </c>
      <c r="D28" s="161">
        <f t="shared" si="2"/>
        <v>39369.839999999997</v>
      </c>
      <c r="E28" s="84">
        <v>19684.919999999998</v>
      </c>
      <c r="F28" s="85">
        <f t="shared" si="0"/>
        <v>0.5</v>
      </c>
      <c r="G28" s="86">
        <v>19684.919999999998</v>
      </c>
      <c r="H28" s="87">
        <f t="shared" si="3"/>
        <v>0.5</v>
      </c>
      <c r="I28" s="84">
        <v>0</v>
      </c>
      <c r="J28" s="84">
        <v>0</v>
      </c>
      <c r="K28" s="88">
        <f t="shared" si="1"/>
        <v>0</v>
      </c>
      <c r="L28" s="77" t="s">
        <v>14</v>
      </c>
      <c r="M28" s="65"/>
      <c r="N28" s="65"/>
      <c r="S28" s="72"/>
      <c r="T28" s="72"/>
      <c r="U28" s="272"/>
      <c r="V28" s="273"/>
      <c r="W28" s="274"/>
      <c r="X28" s="72"/>
      <c r="Y28" s="72"/>
      <c r="Z28" s="272"/>
      <c r="AA28" s="259"/>
    </row>
    <row r="29" spans="1:27" ht="32.25" customHeight="1" x14ac:dyDescent="0.25">
      <c r="A29" s="185">
        <v>21</v>
      </c>
      <c r="B29" s="81">
        <v>2018</v>
      </c>
      <c r="C29" s="89" t="s">
        <v>26</v>
      </c>
      <c r="D29" s="161">
        <f t="shared" si="2"/>
        <v>99246.24</v>
      </c>
      <c r="E29" s="84">
        <v>49623.12</v>
      </c>
      <c r="F29" s="85">
        <f t="shared" si="0"/>
        <v>0.5</v>
      </c>
      <c r="G29" s="86">
        <v>49623.12</v>
      </c>
      <c r="H29" s="87">
        <f t="shared" si="3"/>
        <v>0.5</v>
      </c>
      <c r="I29" s="84">
        <v>0</v>
      </c>
      <c r="J29" s="84">
        <v>0</v>
      </c>
      <c r="K29" s="88">
        <f t="shared" si="1"/>
        <v>0</v>
      </c>
      <c r="L29" s="77" t="s">
        <v>14</v>
      </c>
      <c r="M29" s="65"/>
      <c r="N29" s="65"/>
      <c r="S29" s="72"/>
      <c r="T29" s="72"/>
      <c r="U29" s="272"/>
      <c r="V29" s="273"/>
      <c r="W29" s="274"/>
      <c r="X29" s="72"/>
      <c r="Y29" s="72"/>
      <c r="Z29" s="272"/>
      <c r="AA29" s="259"/>
    </row>
    <row r="30" spans="1:27" ht="36" customHeight="1" x14ac:dyDescent="0.25">
      <c r="A30" s="209">
        <v>22</v>
      </c>
      <c r="B30" s="81">
        <v>2018</v>
      </c>
      <c r="C30" s="89" t="s">
        <v>31</v>
      </c>
      <c r="D30" s="161">
        <f t="shared" si="2"/>
        <v>36531</v>
      </c>
      <c r="E30" s="84">
        <v>18265.5</v>
      </c>
      <c r="F30" s="85">
        <f t="shared" si="0"/>
        <v>0.5</v>
      </c>
      <c r="G30" s="86">
        <v>18265.5</v>
      </c>
      <c r="H30" s="87">
        <f t="shared" si="3"/>
        <v>0.5</v>
      </c>
      <c r="I30" s="84">
        <v>0</v>
      </c>
      <c r="J30" s="84">
        <v>0</v>
      </c>
      <c r="K30" s="88">
        <f t="shared" si="1"/>
        <v>0</v>
      </c>
      <c r="L30" s="77" t="s">
        <v>14</v>
      </c>
      <c r="M30" s="65"/>
      <c r="N30" s="65"/>
      <c r="S30" s="72"/>
      <c r="T30" s="279"/>
      <c r="U30" s="272"/>
      <c r="V30" s="280"/>
      <c r="W30" s="274"/>
      <c r="X30" s="72"/>
      <c r="Y30" s="72"/>
      <c r="Z30" s="272"/>
      <c r="AA30" s="259"/>
    </row>
    <row r="31" spans="1:27" ht="29.25" customHeight="1" x14ac:dyDescent="0.25">
      <c r="A31" s="209">
        <v>23</v>
      </c>
      <c r="B31" s="81" t="s">
        <v>455</v>
      </c>
      <c r="C31" s="155" t="s">
        <v>32</v>
      </c>
      <c r="D31" s="161">
        <f t="shared" si="2"/>
        <v>95325</v>
      </c>
      <c r="E31" s="84">
        <f>3382.5+44280</f>
        <v>47662.5</v>
      </c>
      <c r="F31" s="85">
        <f t="shared" si="0"/>
        <v>0.5</v>
      </c>
      <c r="G31" s="86">
        <v>47662.5</v>
      </c>
      <c r="H31" s="87">
        <f t="shared" si="3"/>
        <v>0.5</v>
      </c>
      <c r="I31" s="84">
        <v>0</v>
      </c>
      <c r="J31" s="84">
        <v>0</v>
      </c>
      <c r="K31" s="88">
        <f t="shared" si="1"/>
        <v>0</v>
      </c>
      <c r="L31" s="77" t="s">
        <v>14</v>
      </c>
      <c r="M31" s="65"/>
      <c r="N31" s="65"/>
      <c r="S31" s="72"/>
      <c r="T31" s="279"/>
      <c r="U31" s="272"/>
      <c r="V31" s="280"/>
      <c r="W31" s="274"/>
      <c r="X31" s="72"/>
      <c r="Y31" s="72"/>
      <c r="Z31" s="272"/>
      <c r="AA31" s="259"/>
    </row>
    <row r="32" spans="1:27" ht="39" customHeight="1" x14ac:dyDescent="0.25">
      <c r="A32" s="185">
        <v>24</v>
      </c>
      <c r="B32" s="81">
        <v>2018</v>
      </c>
      <c r="C32" s="89" t="s">
        <v>33</v>
      </c>
      <c r="D32" s="161">
        <f t="shared" si="2"/>
        <v>20910</v>
      </c>
      <c r="E32" s="84">
        <v>10455</v>
      </c>
      <c r="F32" s="85">
        <f t="shared" si="0"/>
        <v>0.5</v>
      </c>
      <c r="G32" s="86">
        <v>10455</v>
      </c>
      <c r="H32" s="87">
        <f t="shared" si="3"/>
        <v>0.5</v>
      </c>
      <c r="I32" s="84">
        <v>0</v>
      </c>
      <c r="J32" s="84">
        <v>0</v>
      </c>
      <c r="K32" s="88">
        <f t="shared" si="1"/>
        <v>0</v>
      </c>
      <c r="L32" s="77" t="s">
        <v>14</v>
      </c>
      <c r="M32" s="65"/>
      <c r="N32" s="65"/>
      <c r="S32" s="72"/>
      <c r="T32" s="72"/>
      <c r="U32" s="272"/>
      <c r="V32" s="273"/>
      <c r="W32" s="274"/>
      <c r="X32" s="72"/>
      <c r="Y32" s="72"/>
      <c r="Z32" s="272"/>
      <c r="AA32" s="259"/>
    </row>
    <row r="33" spans="1:27" ht="36.75" customHeight="1" x14ac:dyDescent="0.25">
      <c r="A33" s="209">
        <v>25</v>
      </c>
      <c r="B33" s="81">
        <v>2018</v>
      </c>
      <c r="C33" s="89" t="s">
        <v>201</v>
      </c>
      <c r="D33" s="161">
        <f t="shared" si="2"/>
        <v>87879.5</v>
      </c>
      <c r="E33" s="84">
        <v>87879.5</v>
      </c>
      <c r="F33" s="85">
        <f t="shared" si="0"/>
        <v>1</v>
      </c>
      <c r="G33" s="86">
        <v>0</v>
      </c>
      <c r="H33" s="87">
        <f t="shared" si="3"/>
        <v>0</v>
      </c>
      <c r="I33" s="84">
        <v>0</v>
      </c>
      <c r="J33" s="84">
        <v>0</v>
      </c>
      <c r="K33" s="88">
        <f t="shared" si="1"/>
        <v>0</v>
      </c>
      <c r="L33" s="77" t="s">
        <v>14</v>
      </c>
      <c r="M33" s="65"/>
      <c r="N33" s="65"/>
      <c r="S33" s="72"/>
      <c r="T33" s="72"/>
      <c r="U33" s="272"/>
      <c r="V33" s="273"/>
      <c r="W33" s="274"/>
      <c r="X33" s="72"/>
      <c r="Y33" s="72"/>
      <c r="Z33" s="272"/>
      <c r="AA33" s="259"/>
    </row>
    <row r="34" spans="1:27" ht="35.25" customHeight="1" x14ac:dyDescent="0.25">
      <c r="A34" s="209">
        <v>26</v>
      </c>
      <c r="B34" s="97">
        <v>2019</v>
      </c>
      <c r="C34" s="92" t="s">
        <v>204</v>
      </c>
      <c r="D34" s="161">
        <f t="shared" ref="D34:D52" si="4">E34+G34+I34+J34</f>
        <v>432336.39</v>
      </c>
      <c r="E34" s="84">
        <v>216168.2</v>
      </c>
      <c r="F34" s="85">
        <f t="shared" si="0"/>
        <v>0.5</v>
      </c>
      <c r="G34" s="86">
        <v>216168.19</v>
      </c>
      <c r="H34" s="87">
        <f t="shared" si="3"/>
        <v>0.5</v>
      </c>
      <c r="I34" s="84">
        <v>0</v>
      </c>
      <c r="J34" s="84">
        <v>0</v>
      </c>
      <c r="K34" s="88">
        <f t="shared" si="1"/>
        <v>0</v>
      </c>
      <c r="L34" s="77" t="s">
        <v>14</v>
      </c>
      <c r="M34" s="65"/>
      <c r="N34" s="65"/>
      <c r="S34" s="266"/>
      <c r="T34" s="266"/>
      <c r="U34" s="267"/>
      <c r="V34" s="265"/>
      <c r="W34" s="264"/>
      <c r="X34" s="268"/>
      <c r="Y34" s="269"/>
      <c r="Z34" s="270"/>
      <c r="AA34" s="252"/>
    </row>
    <row r="35" spans="1:27" ht="30.75" customHeight="1" x14ac:dyDescent="0.25">
      <c r="A35" s="185">
        <v>27</v>
      </c>
      <c r="B35" s="97">
        <v>2019</v>
      </c>
      <c r="C35" s="92" t="s">
        <v>205</v>
      </c>
      <c r="D35" s="161">
        <f t="shared" si="4"/>
        <v>1300801.6499999999</v>
      </c>
      <c r="E35" s="84">
        <v>431111.33</v>
      </c>
      <c r="F35" s="85">
        <f t="shared" si="0"/>
        <v>0.33</v>
      </c>
      <c r="G35" s="86">
        <v>431111.32</v>
      </c>
      <c r="H35" s="87">
        <f t="shared" si="3"/>
        <v>0.33</v>
      </c>
      <c r="I35" s="84">
        <v>0</v>
      </c>
      <c r="J35" s="84">
        <v>438579</v>
      </c>
      <c r="K35" s="88">
        <f t="shared" si="1"/>
        <v>0.34</v>
      </c>
      <c r="L35" s="77" t="s">
        <v>14</v>
      </c>
      <c r="M35" s="65"/>
      <c r="N35" s="65"/>
      <c r="S35" s="248"/>
      <c r="T35" s="248"/>
      <c r="U35" s="249"/>
      <c r="V35" s="250"/>
      <c r="W35" s="251"/>
      <c r="X35" s="248"/>
      <c r="Y35" s="252"/>
      <c r="Z35" s="249"/>
      <c r="AA35" s="252"/>
    </row>
    <row r="36" spans="1:27" ht="33" customHeight="1" x14ac:dyDescent="0.25">
      <c r="A36" s="209">
        <v>28</v>
      </c>
      <c r="B36" s="97">
        <v>2019</v>
      </c>
      <c r="C36" s="92" t="s">
        <v>206</v>
      </c>
      <c r="D36" s="161">
        <f t="shared" si="4"/>
        <v>2348242.33</v>
      </c>
      <c r="E36" s="84">
        <v>587060.67000000004</v>
      </c>
      <c r="F36" s="85">
        <f t="shared" si="0"/>
        <v>0.25</v>
      </c>
      <c r="G36" s="86">
        <v>587060.66</v>
      </c>
      <c r="H36" s="87">
        <f t="shared" si="3"/>
        <v>0.25</v>
      </c>
      <c r="I36" s="84">
        <v>0</v>
      </c>
      <c r="J36" s="84">
        <v>1174121</v>
      </c>
      <c r="K36" s="88">
        <f t="shared" si="1"/>
        <v>0.5</v>
      </c>
      <c r="L36" s="77" t="s">
        <v>14</v>
      </c>
      <c r="M36" s="65"/>
      <c r="N36" s="65"/>
      <c r="S36" s="260"/>
      <c r="T36" s="260"/>
      <c r="U36" s="262"/>
      <c r="V36" s="265"/>
      <c r="W36" s="264"/>
      <c r="X36" s="260"/>
      <c r="Y36" s="265"/>
      <c r="Z36" s="264"/>
      <c r="AA36" s="265"/>
    </row>
    <row r="37" spans="1:27" ht="33" customHeight="1" x14ac:dyDescent="0.25">
      <c r="A37" s="209">
        <v>29</v>
      </c>
      <c r="B37" s="97">
        <v>2020</v>
      </c>
      <c r="C37" s="92" t="s">
        <v>207</v>
      </c>
      <c r="D37" s="161">
        <f t="shared" si="4"/>
        <v>1622124.39</v>
      </c>
      <c r="E37" s="84">
        <v>412869.97</v>
      </c>
      <c r="F37" s="85">
        <f t="shared" si="0"/>
        <v>0.25</v>
      </c>
      <c r="G37" s="86">
        <v>412869.96</v>
      </c>
      <c r="H37" s="87">
        <f t="shared" si="3"/>
        <v>0.25</v>
      </c>
      <c r="I37" s="84">
        <v>796384.46</v>
      </c>
      <c r="J37" s="84">
        <v>0</v>
      </c>
      <c r="K37" s="88">
        <f t="shared" si="1"/>
        <v>0.49</v>
      </c>
      <c r="L37" s="77" t="s">
        <v>14</v>
      </c>
      <c r="M37" s="65"/>
      <c r="N37" s="65"/>
      <c r="S37" s="266"/>
      <c r="T37" s="266"/>
      <c r="U37" s="267"/>
      <c r="V37" s="265"/>
      <c r="W37" s="264"/>
      <c r="X37" s="266"/>
      <c r="Y37" s="269"/>
      <c r="Z37" s="270"/>
      <c r="AA37" s="269"/>
    </row>
    <row r="38" spans="1:27" ht="48" customHeight="1" x14ac:dyDescent="0.25">
      <c r="A38" s="185">
        <v>30</v>
      </c>
      <c r="B38" s="81">
        <v>2020</v>
      </c>
      <c r="C38" s="89" t="s">
        <v>208</v>
      </c>
      <c r="D38" s="161">
        <f t="shared" si="4"/>
        <v>2749059.43</v>
      </c>
      <c r="E38" s="84">
        <v>835307.13</v>
      </c>
      <c r="F38" s="85">
        <f t="shared" si="0"/>
        <v>0.3</v>
      </c>
      <c r="G38" s="86">
        <v>835307.13</v>
      </c>
      <c r="H38" s="87">
        <f t="shared" si="3"/>
        <v>0.3</v>
      </c>
      <c r="I38" s="84">
        <v>1078445.17</v>
      </c>
      <c r="J38" s="84">
        <v>0</v>
      </c>
      <c r="K38" s="88">
        <f t="shared" si="1"/>
        <v>0.39</v>
      </c>
      <c r="L38" s="77" t="s">
        <v>14</v>
      </c>
      <c r="M38" s="65"/>
      <c r="N38" s="65"/>
      <c r="S38" s="72"/>
      <c r="T38" s="72"/>
      <c r="U38" s="272"/>
      <c r="V38" s="273"/>
      <c r="W38" s="274"/>
      <c r="X38" s="72"/>
      <c r="Y38" s="273"/>
      <c r="Z38" s="274"/>
      <c r="AA38" s="281"/>
    </row>
    <row r="39" spans="1:27" ht="48" customHeight="1" x14ac:dyDescent="0.25">
      <c r="A39" s="209">
        <v>31</v>
      </c>
      <c r="B39" s="81">
        <v>2020</v>
      </c>
      <c r="C39" s="89" t="s">
        <v>209</v>
      </c>
      <c r="D39" s="161">
        <f t="shared" si="4"/>
        <v>67281</v>
      </c>
      <c r="E39" s="84">
        <v>33640.5</v>
      </c>
      <c r="F39" s="85">
        <f t="shared" si="0"/>
        <v>0.5</v>
      </c>
      <c r="G39" s="86">
        <v>33640.5</v>
      </c>
      <c r="H39" s="87">
        <f t="shared" si="3"/>
        <v>0.5</v>
      </c>
      <c r="I39" s="84">
        <v>0</v>
      </c>
      <c r="J39" s="84">
        <v>0</v>
      </c>
      <c r="K39" s="88">
        <f t="shared" si="1"/>
        <v>0</v>
      </c>
      <c r="L39" s="77" t="s">
        <v>14</v>
      </c>
      <c r="M39" s="65"/>
      <c r="N39" s="65"/>
      <c r="S39" s="72"/>
      <c r="T39" s="72"/>
      <c r="U39" s="272"/>
      <c r="V39" s="273"/>
      <c r="W39" s="274"/>
      <c r="X39" s="259"/>
      <c r="Y39" s="273"/>
      <c r="Z39" s="274"/>
      <c r="AA39" s="281"/>
    </row>
    <row r="40" spans="1:27" ht="48" customHeight="1" x14ac:dyDescent="0.25">
      <c r="A40" s="209">
        <v>32</v>
      </c>
      <c r="B40" s="81" t="s">
        <v>210</v>
      </c>
      <c r="C40" s="89" t="s">
        <v>211</v>
      </c>
      <c r="D40" s="161">
        <f t="shared" si="4"/>
        <v>78720</v>
      </c>
      <c r="E40" s="84">
        <v>26937</v>
      </c>
      <c r="F40" s="85">
        <f t="shared" si="0"/>
        <v>0.34</v>
      </c>
      <c r="G40" s="86">
        <f>21279+30504</f>
        <v>51783</v>
      </c>
      <c r="H40" s="87">
        <f t="shared" si="3"/>
        <v>0.66</v>
      </c>
      <c r="I40" s="84">
        <v>0</v>
      </c>
      <c r="J40" s="84">
        <v>0</v>
      </c>
      <c r="K40" s="88">
        <f t="shared" si="1"/>
        <v>0</v>
      </c>
      <c r="L40" s="77" t="s">
        <v>14</v>
      </c>
      <c r="M40" s="65"/>
      <c r="N40" s="66"/>
      <c r="S40" s="72"/>
      <c r="T40" s="72"/>
      <c r="U40" s="272"/>
      <c r="V40" s="273"/>
      <c r="W40" s="274"/>
      <c r="X40" s="259"/>
      <c r="Y40" s="273"/>
      <c r="Z40" s="274"/>
      <c r="AA40" s="281"/>
    </row>
    <row r="41" spans="1:27" ht="29.25" customHeight="1" x14ac:dyDescent="0.25">
      <c r="A41" s="185">
        <v>33</v>
      </c>
      <c r="B41" s="97">
        <v>2021</v>
      </c>
      <c r="C41" s="92" t="s">
        <v>212</v>
      </c>
      <c r="D41" s="161">
        <f>E41+G41+I41+J41</f>
        <v>962215.07</v>
      </c>
      <c r="E41" s="84">
        <f>280160.23+1470</f>
        <v>281630.23</v>
      </c>
      <c r="F41" s="85">
        <f t="shared" si="0"/>
        <v>0.28999999999999998</v>
      </c>
      <c r="G41" s="86">
        <v>281630.23</v>
      </c>
      <c r="H41" s="87">
        <f t="shared" si="3"/>
        <v>0.28999999999999998</v>
      </c>
      <c r="I41" s="84">
        <v>398954.61</v>
      </c>
      <c r="J41" s="84">
        <v>0</v>
      </c>
      <c r="K41" s="88">
        <f t="shared" si="1"/>
        <v>0.41</v>
      </c>
      <c r="L41" s="77" t="s">
        <v>14</v>
      </c>
      <c r="M41" s="65"/>
      <c r="N41" s="65"/>
      <c r="S41" s="266"/>
      <c r="T41" s="266"/>
      <c r="U41" s="267"/>
      <c r="V41" s="265"/>
      <c r="W41" s="264"/>
      <c r="X41" s="260"/>
      <c r="Y41" s="269"/>
      <c r="Z41" s="270"/>
      <c r="AA41" s="269"/>
    </row>
    <row r="42" spans="1:27" ht="35.25" customHeight="1" x14ac:dyDescent="0.25">
      <c r="A42" s="209">
        <v>34</v>
      </c>
      <c r="B42" s="284" t="s">
        <v>464</v>
      </c>
      <c r="C42" s="155" t="s">
        <v>220</v>
      </c>
      <c r="D42" s="161">
        <f t="shared" ref="D42" si="5">E42+G42+I42+J42</f>
        <v>7569066.6299999999</v>
      </c>
      <c r="E42" s="84">
        <v>2047914.46</v>
      </c>
      <c r="F42" s="85">
        <f t="shared" ref="F42" si="6">(E42/D42)</f>
        <v>0.27</v>
      </c>
      <c r="G42" s="86">
        <f>1254445.99+793468.46</f>
        <v>2047914.45</v>
      </c>
      <c r="H42" s="87">
        <f t="shared" ref="H42" si="7">(G42/D42)</f>
        <v>0.27</v>
      </c>
      <c r="I42" s="84">
        <f>1454154.13+2019083.59</f>
        <v>3473237.72</v>
      </c>
      <c r="J42" s="84">
        <v>0</v>
      </c>
      <c r="K42" s="88">
        <f t="shared" ref="K42" si="8">(I42+J42)/D42</f>
        <v>0.46</v>
      </c>
      <c r="L42" s="77" t="s">
        <v>14</v>
      </c>
      <c r="M42" s="65"/>
      <c r="N42" s="146"/>
      <c r="S42" s="266"/>
      <c r="T42" s="266"/>
      <c r="U42" s="267"/>
      <c r="V42" s="265"/>
      <c r="W42" s="264"/>
      <c r="X42" s="260"/>
      <c r="Y42" s="269"/>
      <c r="Z42" s="270"/>
      <c r="AA42" s="269"/>
    </row>
    <row r="43" spans="1:27" ht="33.75" x14ac:dyDescent="0.25">
      <c r="A43" s="209">
        <v>35</v>
      </c>
      <c r="B43" s="97">
        <v>2021</v>
      </c>
      <c r="C43" s="92" t="s">
        <v>214</v>
      </c>
      <c r="D43" s="161">
        <f t="shared" si="4"/>
        <v>2106992.81</v>
      </c>
      <c r="E43" s="84">
        <v>529039.07999999996</v>
      </c>
      <c r="F43" s="85">
        <f t="shared" si="0"/>
        <v>0.25</v>
      </c>
      <c r="G43" s="86">
        <v>529039.07999999996</v>
      </c>
      <c r="H43" s="87">
        <f t="shared" si="3"/>
        <v>0.25</v>
      </c>
      <c r="I43" s="84">
        <v>1048914.6499999999</v>
      </c>
      <c r="J43" s="84">
        <v>0</v>
      </c>
      <c r="K43" s="88">
        <f t="shared" si="1"/>
        <v>0.5</v>
      </c>
      <c r="L43" s="236" t="s">
        <v>14</v>
      </c>
      <c r="M43" s="67"/>
      <c r="N43" s="67"/>
      <c r="S43" s="266"/>
      <c r="T43" s="260"/>
      <c r="U43" s="262"/>
      <c r="V43" s="265"/>
      <c r="W43" s="264"/>
      <c r="X43" s="260"/>
      <c r="Y43" s="265"/>
      <c r="Z43" s="264"/>
      <c r="AA43" s="265"/>
    </row>
    <row r="44" spans="1:27" ht="29.25" customHeight="1" x14ac:dyDescent="0.25">
      <c r="A44" s="185">
        <v>36</v>
      </c>
      <c r="B44" s="97">
        <v>2021</v>
      </c>
      <c r="C44" s="92" t="s">
        <v>215</v>
      </c>
      <c r="D44" s="161">
        <f t="shared" si="4"/>
        <v>407860.5</v>
      </c>
      <c r="E44" s="84">
        <v>118900.15</v>
      </c>
      <c r="F44" s="85">
        <f t="shared" si="0"/>
        <v>0.28999999999999998</v>
      </c>
      <c r="G44" s="86">
        <v>100000</v>
      </c>
      <c r="H44" s="87">
        <f t="shared" si="3"/>
        <v>0.25</v>
      </c>
      <c r="I44" s="84">
        <v>188960.35</v>
      </c>
      <c r="J44" s="84">
        <v>0</v>
      </c>
      <c r="K44" s="88">
        <f t="shared" si="1"/>
        <v>0.46</v>
      </c>
      <c r="L44" s="236" t="s">
        <v>14</v>
      </c>
      <c r="M44" s="67"/>
      <c r="N44" s="67"/>
      <c r="S44" s="269"/>
      <c r="T44" s="265"/>
      <c r="U44" s="264"/>
      <c r="V44" s="265"/>
      <c r="W44" s="264"/>
      <c r="X44" s="265"/>
      <c r="Y44" s="265"/>
      <c r="Z44" s="264"/>
      <c r="AA44" s="265"/>
    </row>
    <row r="45" spans="1:27" ht="45" x14ac:dyDescent="0.25">
      <c r="A45" s="209">
        <v>37</v>
      </c>
      <c r="B45" s="81" t="s">
        <v>515</v>
      </c>
      <c r="C45" s="89" t="s">
        <v>217</v>
      </c>
      <c r="D45" s="161">
        <f t="shared" si="4"/>
        <v>8359678.75</v>
      </c>
      <c r="E45" s="84">
        <v>2113827.8199999998</v>
      </c>
      <c r="F45" s="85">
        <f t="shared" si="0"/>
        <v>0.25</v>
      </c>
      <c r="G45" s="86">
        <v>2113827.81</v>
      </c>
      <c r="H45" s="87">
        <f t="shared" si="3"/>
        <v>0.25</v>
      </c>
      <c r="I45" s="84">
        <v>4132023.12</v>
      </c>
      <c r="J45" s="84">
        <v>0</v>
      </c>
      <c r="K45" s="88">
        <f t="shared" si="1"/>
        <v>0.49</v>
      </c>
      <c r="L45" s="77" t="s">
        <v>14</v>
      </c>
      <c r="M45" s="65"/>
      <c r="N45" s="65"/>
      <c r="S45" s="72"/>
      <c r="T45" s="72"/>
      <c r="U45" s="272"/>
      <c r="V45" s="273"/>
      <c r="W45" s="274"/>
      <c r="X45" s="72"/>
      <c r="Y45" s="273"/>
      <c r="Z45" s="274"/>
      <c r="AA45" s="281"/>
    </row>
    <row r="46" spans="1:27" ht="22.5" x14ac:dyDescent="0.25">
      <c r="A46" s="209">
        <v>38</v>
      </c>
      <c r="B46" s="81">
        <v>2022</v>
      </c>
      <c r="C46" s="92" t="s">
        <v>218</v>
      </c>
      <c r="D46" s="161">
        <f t="shared" si="4"/>
        <v>1588779.49</v>
      </c>
      <c r="E46" s="84">
        <v>479433.94</v>
      </c>
      <c r="F46" s="85">
        <f t="shared" si="0"/>
        <v>0.3</v>
      </c>
      <c r="G46" s="86">
        <v>458345.55</v>
      </c>
      <c r="H46" s="87">
        <f t="shared" si="3"/>
        <v>0.28999999999999998</v>
      </c>
      <c r="I46" s="84">
        <v>651000</v>
      </c>
      <c r="J46" s="84">
        <v>0</v>
      </c>
      <c r="K46" s="88">
        <f t="shared" si="1"/>
        <v>0.41</v>
      </c>
      <c r="L46" s="77" t="s">
        <v>14</v>
      </c>
      <c r="M46" s="65"/>
      <c r="N46" s="128"/>
      <c r="S46" s="260"/>
      <c r="T46" s="260"/>
      <c r="U46" s="262"/>
      <c r="V46" s="265"/>
      <c r="W46" s="264"/>
      <c r="X46" s="260"/>
      <c r="Y46" s="260"/>
      <c r="Z46" s="262"/>
      <c r="AA46" s="260"/>
    </row>
    <row r="47" spans="1:27" ht="40.5" customHeight="1" x14ac:dyDescent="0.25">
      <c r="A47" s="185">
        <v>39</v>
      </c>
      <c r="B47" s="81" t="s">
        <v>475</v>
      </c>
      <c r="C47" s="155" t="s">
        <v>221</v>
      </c>
      <c r="D47" s="161">
        <f t="shared" si="4"/>
        <v>118516.65</v>
      </c>
      <c r="E47" s="84">
        <v>59258.33</v>
      </c>
      <c r="F47" s="85">
        <f t="shared" si="0"/>
        <v>0.5</v>
      </c>
      <c r="G47" s="86">
        <f>12300+24818.32+22140</f>
        <v>59258.32</v>
      </c>
      <c r="H47" s="87">
        <f t="shared" si="3"/>
        <v>0.5</v>
      </c>
      <c r="I47" s="84">
        <v>0</v>
      </c>
      <c r="J47" s="84">
        <v>0</v>
      </c>
      <c r="K47" s="88">
        <f t="shared" si="1"/>
        <v>0</v>
      </c>
      <c r="L47" s="77" t="s">
        <v>14</v>
      </c>
      <c r="M47" s="65"/>
      <c r="N47" s="128"/>
      <c r="S47" s="72"/>
      <c r="T47" s="72"/>
      <c r="U47" s="272"/>
      <c r="V47" s="273"/>
      <c r="W47" s="274"/>
      <c r="X47" s="72"/>
      <c r="Y47" s="72"/>
      <c r="Z47" s="272"/>
      <c r="AA47" s="281"/>
    </row>
    <row r="48" spans="1:27" ht="33.75" x14ac:dyDescent="0.25">
      <c r="A48" s="209">
        <v>40</v>
      </c>
      <c r="B48" s="97" t="s">
        <v>515</v>
      </c>
      <c r="C48" s="145" t="s">
        <v>222</v>
      </c>
      <c r="D48" s="161">
        <f t="shared" si="4"/>
        <v>92373</v>
      </c>
      <c r="E48" s="84">
        <v>46186.5</v>
      </c>
      <c r="F48" s="85">
        <f t="shared" si="0"/>
        <v>0.5</v>
      </c>
      <c r="G48" s="86">
        <f>3505.5+42681</f>
        <v>46186.5</v>
      </c>
      <c r="H48" s="87">
        <f t="shared" si="3"/>
        <v>0.5</v>
      </c>
      <c r="I48" s="84">
        <v>0</v>
      </c>
      <c r="J48" s="84">
        <v>0</v>
      </c>
      <c r="K48" s="88">
        <f t="shared" si="1"/>
        <v>0</v>
      </c>
      <c r="L48" s="77" t="s">
        <v>14</v>
      </c>
      <c r="M48" s="65"/>
      <c r="N48" s="65"/>
      <c r="S48" s="260"/>
      <c r="T48" s="260"/>
      <c r="U48" s="262"/>
      <c r="V48" s="265"/>
      <c r="W48" s="264"/>
      <c r="X48" s="260"/>
      <c r="Y48" s="271"/>
      <c r="Z48" s="251"/>
      <c r="AA48" s="271"/>
    </row>
    <row r="49" spans="1:27" ht="45" x14ac:dyDescent="0.25">
      <c r="A49" s="209">
        <v>41</v>
      </c>
      <c r="B49" s="97">
        <v>2022</v>
      </c>
      <c r="C49" s="92" t="s">
        <v>223</v>
      </c>
      <c r="D49" s="137">
        <f t="shared" si="4"/>
        <v>44589.04</v>
      </c>
      <c r="E49" s="93">
        <v>22294.52</v>
      </c>
      <c r="F49" s="134">
        <f t="shared" si="0"/>
        <v>0.5</v>
      </c>
      <c r="G49" s="94">
        <v>22294.52</v>
      </c>
      <c r="H49" s="135">
        <f t="shared" si="3"/>
        <v>0.5</v>
      </c>
      <c r="I49" s="93">
        <v>0</v>
      </c>
      <c r="J49" s="93">
        <v>0</v>
      </c>
      <c r="K49" s="107">
        <f t="shared" si="1"/>
        <v>0</v>
      </c>
      <c r="L49" s="285" t="s">
        <v>14</v>
      </c>
      <c r="M49" s="65"/>
      <c r="N49" s="65"/>
      <c r="S49" s="248"/>
      <c r="T49" s="248"/>
      <c r="U49" s="249"/>
      <c r="V49" s="250"/>
      <c r="W49" s="251"/>
      <c r="X49" s="252"/>
      <c r="Y49" s="252"/>
      <c r="Z49" s="249"/>
      <c r="AA49" s="253"/>
    </row>
    <row r="50" spans="1:27" ht="43.5" customHeight="1" x14ac:dyDescent="0.25">
      <c r="A50" s="185">
        <v>42</v>
      </c>
      <c r="B50" s="81">
        <v>2022</v>
      </c>
      <c r="C50" s="89" t="s">
        <v>331</v>
      </c>
      <c r="D50" s="161">
        <f t="shared" si="4"/>
        <v>103381.5</v>
      </c>
      <c r="E50" s="84">
        <f>12300+42865.5+1968</f>
        <v>57133.5</v>
      </c>
      <c r="F50" s="85">
        <f t="shared" si="0"/>
        <v>0.55000000000000004</v>
      </c>
      <c r="G50" s="86">
        <v>0</v>
      </c>
      <c r="H50" s="87">
        <f t="shared" si="3"/>
        <v>0</v>
      </c>
      <c r="I50" s="84">
        <v>46248</v>
      </c>
      <c r="J50" s="84">
        <v>0</v>
      </c>
      <c r="K50" s="88">
        <f t="shared" si="1"/>
        <v>0.45</v>
      </c>
      <c r="L50" s="77" t="s">
        <v>14</v>
      </c>
      <c r="M50" s="68"/>
      <c r="N50" s="68"/>
      <c r="S50" s="254"/>
      <c r="T50" s="254"/>
      <c r="U50" s="255"/>
      <c r="V50" s="256"/>
      <c r="W50" s="257"/>
      <c r="X50" s="254"/>
      <c r="Y50" s="258"/>
      <c r="Z50" s="255"/>
      <c r="AA50" s="259"/>
    </row>
    <row r="51" spans="1:27" ht="33.75" x14ac:dyDescent="0.25">
      <c r="A51" s="209">
        <v>43</v>
      </c>
      <c r="B51" s="97">
        <v>2022</v>
      </c>
      <c r="C51" s="92" t="s">
        <v>224</v>
      </c>
      <c r="D51" s="161">
        <f t="shared" si="4"/>
        <v>122023.5</v>
      </c>
      <c r="E51" s="84">
        <f>12000+18722.49+2741.01+984+984</f>
        <v>35431.5</v>
      </c>
      <c r="F51" s="85">
        <f t="shared" si="0"/>
        <v>0.28999999999999998</v>
      </c>
      <c r="G51" s="86">
        <v>0</v>
      </c>
      <c r="H51" s="87">
        <f t="shared" si="3"/>
        <v>0</v>
      </c>
      <c r="I51" s="84">
        <f>79535.2+7056.8</f>
        <v>86592</v>
      </c>
      <c r="J51" s="84">
        <v>0</v>
      </c>
      <c r="K51" s="88">
        <f t="shared" si="1"/>
        <v>0.71</v>
      </c>
      <c r="L51" s="236" t="s">
        <v>14</v>
      </c>
      <c r="M51" s="69"/>
      <c r="N51" s="69"/>
      <c r="O51" s="115"/>
      <c r="S51" s="260"/>
      <c r="T51" s="261"/>
      <c r="U51" s="262"/>
      <c r="V51" s="263"/>
      <c r="W51" s="264"/>
      <c r="X51" s="260"/>
      <c r="Y51" s="265"/>
      <c r="Z51" s="264"/>
      <c r="AA51" s="265"/>
    </row>
    <row r="52" spans="1:27" ht="33.75" x14ac:dyDescent="0.25">
      <c r="A52" s="209">
        <v>44</v>
      </c>
      <c r="B52" s="97">
        <v>2022</v>
      </c>
      <c r="C52" s="92" t="s">
        <v>225</v>
      </c>
      <c r="D52" s="161">
        <f t="shared" si="4"/>
        <v>278103</v>
      </c>
      <c r="E52" s="84">
        <v>28597.5</v>
      </c>
      <c r="F52" s="85">
        <f t="shared" si="0"/>
        <v>0.1</v>
      </c>
      <c r="G52" s="86">
        <v>28597.5</v>
      </c>
      <c r="H52" s="87">
        <f t="shared" si="3"/>
        <v>0.1</v>
      </c>
      <c r="I52" s="84">
        <v>220908</v>
      </c>
      <c r="J52" s="84">
        <v>0</v>
      </c>
      <c r="K52" s="88">
        <f t="shared" si="1"/>
        <v>0.79</v>
      </c>
      <c r="L52" s="236" t="s">
        <v>14</v>
      </c>
      <c r="M52" s="70"/>
      <c r="N52" s="70"/>
      <c r="S52" s="266"/>
      <c r="T52" s="266"/>
      <c r="U52" s="267"/>
      <c r="V52" s="265"/>
      <c r="W52" s="264"/>
      <c r="X52" s="266"/>
      <c r="Y52" s="269"/>
      <c r="Z52" s="270"/>
      <c r="AA52" s="269"/>
    </row>
    <row r="53" spans="1:27" ht="33.75" x14ac:dyDescent="0.25">
      <c r="A53" s="185">
        <v>45</v>
      </c>
      <c r="B53" s="81" t="s">
        <v>516</v>
      </c>
      <c r="C53" s="89" t="s">
        <v>408</v>
      </c>
      <c r="D53" s="161">
        <f t="shared" ref="D53" si="9">E53+G53+I53+J53</f>
        <v>319185</v>
      </c>
      <c r="E53" s="84">
        <v>87453</v>
      </c>
      <c r="F53" s="85">
        <f t="shared" ref="F53" si="10">(E53/D53)</f>
        <v>0.27</v>
      </c>
      <c r="G53" s="86">
        <v>0</v>
      </c>
      <c r="H53" s="87">
        <f t="shared" ref="H53" si="11">(G53/D53)</f>
        <v>0</v>
      </c>
      <c r="I53" s="84">
        <v>231732</v>
      </c>
      <c r="J53" s="84">
        <v>0</v>
      </c>
      <c r="K53" s="88">
        <f t="shared" ref="K53" si="12">(I53+J53)/D53</f>
        <v>0.73</v>
      </c>
      <c r="L53" s="81" t="s">
        <v>14</v>
      </c>
      <c r="M53" s="71"/>
      <c r="N53" s="71"/>
    </row>
    <row r="54" spans="1:27" ht="24" customHeight="1" x14ac:dyDescent="0.25">
      <c r="A54" s="209">
        <v>46</v>
      </c>
      <c r="B54" s="81" t="s">
        <v>502</v>
      </c>
      <c r="C54" s="89" t="s">
        <v>432</v>
      </c>
      <c r="D54" s="161">
        <f t="shared" ref="D54" si="13">E54+G54+I54+J54</f>
        <v>2112457.21</v>
      </c>
      <c r="E54" s="84">
        <v>531010.98</v>
      </c>
      <c r="F54" s="85">
        <f t="shared" ref="F54" si="14">(E54/D54)</f>
        <v>0.25</v>
      </c>
      <c r="G54" s="86">
        <v>349897.75</v>
      </c>
      <c r="H54" s="87">
        <f t="shared" ref="H54" si="15">(G54/D54)</f>
        <v>0.17</v>
      </c>
      <c r="I54" s="84">
        <v>1231548.48</v>
      </c>
      <c r="J54" s="84">
        <v>0</v>
      </c>
      <c r="K54" s="88">
        <f t="shared" ref="K54" si="16">(I54+J54)/D54</f>
        <v>0.57999999999999996</v>
      </c>
      <c r="L54" s="81" t="s">
        <v>14</v>
      </c>
      <c r="M54" s="71"/>
      <c r="N54" s="71"/>
    </row>
    <row r="55" spans="1:27" x14ac:dyDescent="0.25">
      <c r="A55" s="358" t="s">
        <v>34</v>
      </c>
      <c r="B55" s="359"/>
      <c r="C55" s="360"/>
      <c r="D55" s="162">
        <f>SUM(D9:D54)</f>
        <v>39408940.939999998</v>
      </c>
      <c r="E55" s="55">
        <f>SUM(E9:E54)</f>
        <v>12002509.27</v>
      </c>
      <c r="F55" s="186">
        <f>E55/D55</f>
        <v>0.3</v>
      </c>
      <c r="G55" s="55">
        <f>SUM(G9:G54)</f>
        <v>11238037.58</v>
      </c>
      <c r="H55" s="187">
        <f>G55/D55</f>
        <v>0.28999999999999998</v>
      </c>
      <c r="I55" s="55">
        <f>SUM(I9:I54)</f>
        <v>13584948.560000001</v>
      </c>
      <c r="J55" s="55">
        <f>SUM(J9:J54)</f>
        <v>2583445.5299999998</v>
      </c>
      <c r="K55" s="186">
        <f>(I55+J55)/D55</f>
        <v>0.41</v>
      </c>
      <c r="L55" s="13" t="s">
        <v>35</v>
      </c>
      <c r="M55" s="72"/>
      <c r="N55" s="72"/>
      <c r="S55" s="72"/>
      <c r="T55" s="72"/>
      <c r="U55" s="72"/>
      <c r="V55" s="273"/>
      <c r="W55" s="273"/>
      <c r="X55" s="72"/>
      <c r="Y55" s="72"/>
      <c r="Z55" s="72"/>
      <c r="AA55" s="72"/>
    </row>
  </sheetData>
  <mergeCells count="32">
    <mergeCell ref="A55:C55"/>
    <mergeCell ref="A3:L3"/>
    <mergeCell ref="H6:H7"/>
    <mergeCell ref="I6:I7"/>
    <mergeCell ref="J6:J7"/>
    <mergeCell ref="K6:K7"/>
    <mergeCell ref="A4:A7"/>
    <mergeCell ref="B4:B7"/>
    <mergeCell ref="C4:C7"/>
    <mergeCell ref="D4:D7"/>
    <mergeCell ref="E4:K4"/>
    <mergeCell ref="L4:L7"/>
    <mergeCell ref="E5:F5"/>
    <mergeCell ref="G5:H5"/>
    <mergeCell ref="I5:K5"/>
    <mergeCell ref="E6:E7"/>
    <mergeCell ref="F6:F7"/>
    <mergeCell ref="S4:S7"/>
    <mergeCell ref="T4:Z4"/>
    <mergeCell ref="AA4:AA7"/>
    <mergeCell ref="T5:U5"/>
    <mergeCell ref="V5:W5"/>
    <mergeCell ref="X5:Z5"/>
    <mergeCell ref="T6:T7"/>
    <mergeCell ref="U6:U7"/>
    <mergeCell ref="V6:V7"/>
    <mergeCell ref="W6:W7"/>
    <mergeCell ref="X6:X7"/>
    <mergeCell ref="Y6:Y7"/>
    <mergeCell ref="Z6:Z7"/>
    <mergeCell ref="G6:G7"/>
    <mergeCell ref="P7:P9"/>
  </mergeCells>
  <phoneticPr fontId="19" type="noConversion"/>
  <pageMargins left="0.7" right="0.7" top="0.75" bottom="0.75" header="0.3" footer="0.3"/>
  <pageSetup paperSize="8" scale="94" orientation="landscape" horizontalDpi="4294967293" verticalDpi="4294967293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X40"/>
  <sheetViews>
    <sheetView view="pageBreakPreview" topLeftCell="A37" zoomScale="85" zoomScaleNormal="100" zoomScaleSheetLayoutView="85" workbookViewId="0">
      <selection activeCell="F11" sqref="F11"/>
    </sheetView>
  </sheetViews>
  <sheetFormatPr defaultRowHeight="15" x14ac:dyDescent="0.25"/>
  <cols>
    <col min="1" max="1" width="9.140625" style="133"/>
    <col min="2" max="2" width="15.140625" style="50" customWidth="1"/>
    <col min="3" max="3" width="34.42578125" customWidth="1"/>
    <col min="4" max="4" width="17" style="54" customWidth="1"/>
    <col min="5" max="5" width="14.42578125" style="54" customWidth="1"/>
    <col min="6" max="6" width="12.28515625" customWidth="1"/>
    <col min="7" max="7" width="15.28515625" style="54" customWidth="1"/>
    <col min="8" max="8" width="15" customWidth="1"/>
    <col min="9" max="9" width="17" style="54" customWidth="1"/>
    <col min="10" max="10" width="15.42578125" style="54" customWidth="1"/>
    <col min="11" max="11" width="15" customWidth="1"/>
    <col min="12" max="12" width="20.85546875" customWidth="1"/>
    <col min="13" max="13" width="13.42578125" bestFit="1" customWidth="1"/>
  </cols>
  <sheetData>
    <row r="2" spans="1:24" ht="72" customHeight="1" x14ac:dyDescent="0.25">
      <c r="A2" s="338" t="s">
        <v>226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24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24" ht="29.2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24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24" ht="21" customHeight="1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24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24" ht="33.75" x14ac:dyDescent="0.25">
      <c r="A8" s="215">
        <v>1</v>
      </c>
      <c r="B8" s="97">
        <v>2015</v>
      </c>
      <c r="C8" s="92" t="s">
        <v>36</v>
      </c>
      <c r="D8" s="83">
        <f>E8+G8+I8+J8</f>
        <v>55996.98</v>
      </c>
      <c r="E8" s="84">
        <v>27998.49</v>
      </c>
      <c r="F8" s="88">
        <f>E8/D8</f>
        <v>0.5</v>
      </c>
      <c r="G8" s="86">
        <v>27998.49</v>
      </c>
      <c r="H8" s="105">
        <f>G8/D8</f>
        <v>0.5</v>
      </c>
      <c r="I8" s="84">
        <v>0</v>
      </c>
      <c r="J8" s="84">
        <v>0</v>
      </c>
      <c r="K8" s="88">
        <f>(I8+J8)/D8</f>
        <v>0</v>
      </c>
      <c r="L8" s="235" t="s">
        <v>14</v>
      </c>
      <c r="P8" s="260"/>
      <c r="Q8" s="260"/>
      <c r="R8" s="262"/>
      <c r="S8" s="265"/>
      <c r="T8" s="264"/>
      <c r="U8" s="260"/>
      <c r="V8" s="260"/>
      <c r="W8" s="262"/>
      <c r="X8" s="72"/>
    </row>
    <row r="9" spans="1:24" ht="33.75" x14ac:dyDescent="0.25">
      <c r="A9" s="215">
        <v>2</v>
      </c>
      <c r="B9" s="97">
        <v>2015</v>
      </c>
      <c r="C9" s="92" t="s">
        <v>37</v>
      </c>
      <c r="D9" s="83">
        <f t="shared" ref="D9:D33" si="0">E9+G9+I9+J9</f>
        <v>218904.65</v>
      </c>
      <c r="E9" s="84">
        <v>109452.32</v>
      </c>
      <c r="F9" s="88">
        <f t="shared" ref="F9:F33" si="1">E9/D9</f>
        <v>0.5</v>
      </c>
      <c r="G9" s="86">
        <v>109452.33</v>
      </c>
      <c r="H9" s="105">
        <f t="shared" ref="H9:H33" si="2">G9/D9</f>
        <v>0.5</v>
      </c>
      <c r="I9" s="84">
        <v>0</v>
      </c>
      <c r="J9" s="84">
        <v>0</v>
      </c>
      <c r="K9" s="88">
        <f t="shared" ref="K9:K33" si="3">(I9+J9)/D9</f>
        <v>0</v>
      </c>
      <c r="L9" s="235" t="s">
        <v>14</v>
      </c>
      <c r="P9" s="260"/>
      <c r="Q9" s="260"/>
      <c r="R9" s="262"/>
      <c r="S9" s="265"/>
      <c r="T9" s="264"/>
      <c r="U9" s="260"/>
      <c r="V9" s="260"/>
      <c r="W9" s="262"/>
      <c r="X9" s="72"/>
    </row>
    <row r="10" spans="1:24" ht="38.25" customHeight="1" x14ac:dyDescent="0.25">
      <c r="A10" s="209">
        <v>3</v>
      </c>
      <c r="B10" s="81">
        <v>2015</v>
      </c>
      <c r="C10" s="82" t="s">
        <v>38</v>
      </c>
      <c r="D10" s="83">
        <f t="shared" si="0"/>
        <v>129559.71</v>
      </c>
      <c r="E10" s="84">
        <v>64779.85</v>
      </c>
      <c r="F10" s="88">
        <f t="shared" si="1"/>
        <v>0.5</v>
      </c>
      <c r="G10" s="86">
        <v>64779.86</v>
      </c>
      <c r="H10" s="105">
        <f t="shared" si="2"/>
        <v>0.5</v>
      </c>
      <c r="I10" s="84">
        <v>0</v>
      </c>
      <c r="J10" s="84">
        <v>0</v>
      </c>
      <c r="K10" s="88">
        <f t="shared" si="3"/>
        <v>0</v>
      </c>
      <c r="L10" s="235" t="s">
        <v>14</v>
      </c>
      <c r="P10" s="248"/>
      <c r="Q10" s="248"/>
      <c r="R10" s="249"/>
      <c r="S10" s="250"/>
      <c r="T10" s="251"/>
      <c r="U10" s="252"/>
      <c r="V10" s="252"/>
      <c r="W10" s="249"/>
      <c r="X10" s="258"/>
    </row>
    <row r="11" spans="1:24" ht="45" x14ac:dyDescent="0.25">
      <c r="A11" s="217">
        <v>4</v>
      </c>
      <c r="B11" s="8">
        <v>2015</v>
      </c>
      <c r="C11" s="9" t="s">
        <v>39</v>
      </c>
      <c r="D11" s="163">
        <f t="shared" si="0"/>
        <v>8610</v>
      </c>
      <c r="E11" s="84">
        <v>4305</v>
      </c>
      <c r="F11" s="88">
        <f t="shared" si="1"/>
        <v>0.5</v>
      </c>
      <c r="G11" s="86">
        <v>4305</v>
      </c>
      <c r="H11" s="105">
        <f t="shared" si="2"/>
        <v>0.5</v>
      </c>
      <c r="I11" s="84">
        <v>0</v>
      </c>
      <c r="J11" s="84">
        <v>0</v>
      </c>
      <c r="K11" s="88">
        <f t="shared" si="3"/>
        <v>0</v>
      </c>
      <c r="L11" s="235" t="s">
        <v>14</v>
      </c>
      <c r="O11" s="76"/>
      <c r="P11" s="254"/>
      <c r="Q11" s="254"/>
      <c r="R11" s="255"/>
      <c r="S11" s="256"/>
      <c r="T11" s="257"/>
      <c r="U11" s="258"/>
      <c r="V11" s="258"/>
      <c r="W11" s="255"/>
      <c r="X11" s="258"/>
    </row>
    <row r="12" spans="1:24" ht="45" x14ac:dyDescent="0.25">
      <c r="A12" s="215">
        <v>5</v>
      </c>
      <c r="B12" s="97">
        <v>2016</v>
      </c>
      <c r="C12" s="92" t="s">
        <v>40</v>
      </c>
      <c r="D12" s="83">
        <f t="shared" si="0"/>
        <v>45070.69</v>
      </c>
      <c r="E12" s="84">
        <v>22535.35</v>
      </c>
      <c r="F12" s="88">
        <f t="shared" si="1"/>
        <v>0.5</v>
      </c>
      <c r="G12" s="86">
        <v>22535.34</v>
      </c>
      <c r="H12" s="105">
        <f t="shared" si="2"/>
        <v>0.5</v>
      </c>
      <c r="I12" s="84">
        <v>0</v>
      </c>
      <c r="J12" s="84">
        <v>0</v>
      </c>
      <c r="K12" s="88">
        <f t="shared" si="3"/>
        <v>0</v>
      </c>
      <c r="L12" s="235" t="s">
        <v>14</v>
      </c>
      <c r="P12" s="260"/>
      <c r="Q12" s="260"/>
      <c r="R12" s="262"/>
      <c r="S12" s="265"/>
      <c r="T12" s="264"/>
      <c r="U12" s="260"/>
      <c r="V12" s="260"/>
      <c r="W12" s="262"/>
      <c r="X12" s="72"/>
    </row>
    <row r="13" spans="1:24" ht="45" x14ac:dyDescent="0.25">
      <c r="A13" s="215">
        <v>6</v>
      </c>
      <c r="B13" s="97">
        <v>2016</v>
      </c>
      <c r="C13" s="92" t="s">
        <v>41</v>
      </c>
      <c r="D13" s="83">
        <f t="shared" si="0"/>
        <v>962492.64</v>
      </c>
      <c r="E13" s="84">
        <v>481246.32</v>
      </c>
      <c r="F13" s="88">
        <f t="shared" si="1"/>
        <v>0.5</v>
      </c>
      <c r="G13" s="86">
        <v>481246.32</v>
      </c>
      <c r="H13" s="105">
        <f t="shared" si="2"/>
        <v>0.5</v>
      </c>
      <c r="I13" s="84">
        <v>0</v>
      </c>
      <c r="J13" s="84">
        <v>0</v>
      </c>
      <c r="K13" s="88">
        <f t="shared" si="3"/>
        <v>0</v>
      </c>
      <c r="L13" s="235" t="s">
        <v>14</v>
      </c>
      <c r="P13" s="260"/>
      <c r="Q13" s="260"/>
      <c r="R13" s="262"/>
      <c r="S13" s="265"/>
      <c r="T13" s="264"/>
      <c r="U13" s="260"/>
      <c r="V13" s="260"/>
      <c r="W13" s="262"/>
      <c r="X13" s="72"/>
    </row>
    <row r="14" spans="1:24" ht="45" x14ac:dyDescent="0.25">
      <c r="A14" s="209">
        <v>7</v>
      </c>
      <c r="B14" s="5">
        <v>2016</v>
      </c>
      <c r="C14" s="16" t="s">
        <v>42</v>
      </c>
      <c r="D14" s="83">
        <f t="shared" si="0"/>
        <v>14760</v>
      </c>
      <c r="E14" s="84">
        <v>7380</v>
      </c>
      <c r="F14" s="88">
        <f t="shared" si="1"/>
        <v>0.5</v>
      </c>
      <c r="G14" s="86">
        <v>7380</v>
      </c>
      <c r="H14" s="105">
        <f t="shared" si="2"/>
        <v>0.5</v>
      </c>
      <c r="I14" s="84">
        <v>0</v>
      </c>
      <c r="J14" s="84">
        <v>0</v>
      </c>
      <c r="K14" s="88">
        <f t="shared" si="3"/>
        <v>0</v>
      </c>
      <c r="L14" s="235" t="s">
        <v>14</v>
      </c>
      <c r="P14" s="254"/>
      <c r="Q14" s="254"/>
      <c r="R14" s="255"/>
      <c r="S14" s="256"/>
      <c r="T14" s="257"/>
      <c r="U14" s="258"/>
      <c r="V14" s="258"/>
      <c r="W14" s="255"/>
      <c r="X14" s="258"/>
    </row>
    <row r="15" spans="1:24" ht="33.75" x14ac:dyDescent="0.25">
      <c r="A15" s="217">
        <v>8</v>
      </c>
      <c r="B15" s="5">
        <v>2016</v>
      </c>
      <c r="C15" s="16" t="s">
        <v>43</v>
      </c>
      <c r="D15" s="83">
        <f t="shared" si="0"/>
        <v>36830</v>
      </c>
      <c r="E15" s="84">
        <f>18415</f>
        <v>18415</v>
      </c>
      <c r="F15" s="88">
        <f t="shared" si="1"/>
        <v>0.5</v>
      </c>
      <c r="G15" s="86">
        <v>18415</v>
      </c>
      <c r="H15" s="105">
        <f t="shared" si="2"/>
        <v>0.5</v>
      </c>
      <c r="I15" s="84">
        <v>0</v>
      </c>
      <c r="J15" s="84">
        <v>0</v>
      </c>
      <c r="K15" s="88">
        <f t="shared" si="3"/>
        <v>0</v>
      </c>
      <c r="L15" s="235" t="s">
        <v>14</v>
      </c>
      <c r="P15" s="254"/>
      <c r="Q15" s="254"/>
      <c r="R15" s="255"/>
      <c r="S15" s="256"/>
      <c r="T15" s="257"/>
      <c r="U15" s="258"/>
      <c r="V15" s="258"/>
      <c r="W15" s="255"/>
      <c r="X15" s="258"/>
    </row>
    <row r="16" spans="1:24" ht="45" x14ac:dyDescent="0.25">
      <c r="A16" s="215">
        <v>9</v>
      </c>
      <c r="B16" s="8">
        <v>2016</v>
      </c>
      <c r="C16" s="9" t="s">
        <v>44</v>
      </c>
      <c r="D16" s="83">
        <f>E16+G16+I16+J16</f>
        <v>120516.81</v>
      </c>
      <c r="E16" s="84">
        <v>60258.41</v>
      </c>
      <c r="F16" s="88">
        <f t="shared" si="1"/>
        <v>0.5</v>
      </c>
      <c r="G16" s="86">
        <v>60258.400000000001</v>
      </c>
      <c r="H16" s="105">
        <f t="shared" si="2"/>
        <v>0.5</v>
      </c>
      <c r="I16" s="84">
        <v>0</v>
      </c>
      <c r="J16" s="84">
        <v>0</v>
      </c>
      <c r="K16" s="88">
        <f t="shared" si="3"/>
        <v>0</v>
      </c>
      <c r="L16" s="235" t="s">
        <v>14</v>
      </c>
      <c r="P16" s="254"/>
      <c r="Q16" s="254"/>
      <c r="R16" s="255"/>
      <c r="S16" s="256"/>
      <c r="T16" s="257"/>
      <c r="U16" s="258"/>
      <c r="V16" s="258"/>
      <c r="W16" s="255"/>
      <c r="X16" s="258"/>
    </row>
    <row r="17" spans="1:24" ht="45" x14ac:dyDescent="0.25">
      <c r="A17" s="215">
        <v>10</v>
      </c>
      <c r="B17" s="97">
        <v>2017</v>
      </c>
      <c r="C17" s="92" t="s">
        <v>45</v>
      </c>
      <c r="D17" s="83">
        <f t="shared" si="0"/>
        <v>78313.149999999994</v>
      </c>
      <c r="E17" s="84">
        <v>39156.58</v>
      </c>
      <c r="F17" s="88">
        <f t="shared" si="1"/>
        <v>0.5</v>
      </c>
      <c r="G17" s="86">
        <v>39156.57</v>
      </c>
      <c r="H17" s="105">
        <f t="shared" si="2"/>
        <v>0.5</v>
      </c>
      <c r="I17" s="84">
        <v>0</v>
      </c>
      <c r="J17" s="84">
        <v>0</v>
      </c>
      <c r="K17" s="88">
        <f t="shared" si="3"/>
        <v>0</v>
      </c>
      <c r="L17" s="236" t="s">
        <v>14</v>
      </c>
      <c r="P17" s="266"/>
      <c r="Q17" s="266"/>
      <c r="R17" s="267"/>
      <c r="S17" s="265"/>
      <c r="T17" s="264"/>
      <c r="U17" s="268"/>
      <c r="V17" s="269"/>
      <c r="W17" s="270"/>
      <c r="X17" s="282"/>
    </row>
    <row r="18" spans="1:24" ht="33.75" x14ac:dyDescent="0.25">
      <c r="A18" s="209">
        <v>11</v>
      </c>
      <c r="B18" s="5" t="s">
        <v>458</v>
      </c>
      <c r="C18" s="16" t="s">
        <v>46</v>
      </c>
      <c r="D18" s="83">
        <f t="shared" si="0"/>
        <v>40590</v>
      </c>
      <c r="E18" s="84">
        <v>20295</v>
      </c>
      <c r="F18" s="88">
        <f t="shared" si="1"/>
        <v>0.5</v>
      </c>
      <c r="G18" s="86">
        <v>20295</v>
      </c>
      <c r="H18" s="105">
        <f t="shared" si="2"/>
        <v>0.5</v>
      </c>
      <c r="I18" s="84">
        <v>0</v>
      </c>
      <c r="J18" s="84">
        <v>0</v>
      </c>
      <c r="K18" s="88">
        <f t="shared" si="3"/>
        <v>0</v>
      </c>
      <c r="L18" s="21" t="s">
        <v>14</v>
      </c>
      <c r="P18" s="254"/>
      <c r="Q18" s="254"/>
      <c r="R18" s="255"/>
      <c r="S18" s="256"/>
      <c r="T18" s="257"/>
      <c r="U18" s="258"/>
      <c r="V18" s="258"/>
      <c r="W18" s="255"/>
      <c r="X18" s="258"/>
    </row>
    <row r="19" spans="1:24" ht="56.25" x14ac:dyDescent="0.25">
      <c r="A19" s="217">
        <v>12</v>
      </c>
      <c r="B19" s="81">
        <v>2018</v>
      </c>
      <c r="C19" s="89" t="s">
        <v>332</v>
      </c>
      <c r="D19" s="83">
        <f t="shared" ref="D19" si="4">E19+G19+I19+J19</f>
        <v>137338.04</v>
      </c>
      <c r="E19" s="84">
        <v>68669.02</v>
      </c>
      <c r="F19" s="88">
        <f t="shared" ref="F19" si="5">E19/D19</f>
        <v>0.5</v>
      </c>
      <c r="G19" s="86">
        <v>68669.02</v>
      </c>
      <c r="H19" s="105">
        <f t="shared" ref="H19" si="6">G19/D19</f>
        <v>0.5</v>
      </c>
      <c r="I19" s="84">
        <v>0</v>
      </c>
      <c r="J19" s="84">
        <v>0</v>
      </c>
      <c r="K19" s="88">
        <f t="shared" ref="K19" si="7">(I19+J19)/D19</f>
        <v>0</v>
      </c>
      <c r="L19" s="124" t="s">
        <v>14</v>
      </c>
      <c r="M19" s="52"/>
      <c r="N19" s="52"/>
      <c r="P19" s="254"/>
      <c r="Q19" s="254"/>
      <c r="R19" s="255"/>
      <c r="S19" s="256"/>
      <c r="T19" s="257"/>
      <c r="U19" s="258"/>
      <c r="V19" s="258"/>
      <c r="W19" s="255"/>
      <c r="X19" s="258"/>
    </row>
    <row r="20" spans="1:24" ht="45" x14ac:dyDescent="0.25">
      <c r="A20" s="215">
        <v>13</v>
      </c>
      <c r="B20" s="81" t="s">
        <v>462</v>
      </c>
      <c r="C20" s="155" t="s">
        <v>47</v>
      </c>
      <c r="D20" s="83">
        <f>E20+G20+I20+J20</f>
        <v>43542</v>
      </c>
      <c r="E20" s="84">
        <f>7011+14760</f>
        <v>21771</v>
      </c>
      <c r="F20" s="88">
        <f t="shared" si="1"/>
        <v>0.5</v>
      </c>
      <c r="G20" s="86">
        <v>21771</v>
      </c>
      <c r="H20" s="105">
        <f t="shared" si="2"/>
        <v>0.5</v>
      </c>
      <c r="I20" s="84">
        <v>0</v>
      </c>
      <c r="J20" s="84">
        <v>0</v>
      </c>
      <c r="K20" s="88">
        <f t="shared" si="3"/>
        <v>0</v>
      </c>
      <c r="L20" s="77" t="s">
        <v>14</v>
      </c>
      <c r="P20" s="254"/>
      <c r="Q20" s="254"/>
      <c r="R20" s="255"/>
      <c r="S20" s="256"/>
      <c r="T20" s="257"/>
      <c r="U20" s="258"/>
      <c r="V20" s="258"/>
      <c r="W20" s="255"/>
      <c r="X20" s="258"/>
    </row>
    <row r="21" spans="1:24" ht="56.25" x14ac:dyDescent="0.25">
      <c r="A21" s="215">
        <v>14</v>
      </c>
      <c r="B21" s="97">
        <v>2018</v>
      </c>
      <c r="C21" s="125" t="s">
        <v>333</v>
      </c>
      <c r="D21" s="83">
        <f t="shared" ref="D21" si="8">E21+G21+I21+J21</f>
        <v>29520</v>
      </c>
      <c r="E21" s="84">
        <v>29520</v>
      </c>
      <c r="F21" s="88">
        <f t="shared" ref="F21" si="9">E21/D21</f>
        <v>1</v>
      </c>
      <c r="G21" s="86">
        <v>0</v>
      </c>
      <c r="H21" s="105">
        <f t="shared" ref="H21" si="10">G21/D21</f>
        <v>0</v>
      </c>
      <c r="I21" s="84">
        <v>0</v>
      </c>
      <c r="J21" s="84">
        <v>0</v>
      </c>
      <c r="K21" s="88">
        <f t="shared" ref="K21" si="11">(I21+J21)/D21</f>
        <v>0</v>
      </c>
      <c r="L21" s="77" t="s">
        <v>14</v>
      </c>
      <c r="P21" s="254"/>
      <c r="Q21" s="254"/>
      <c r="R21" s="255"/>
      <c r="S21" s="256"/>
      <c r="T21" s="257"/>
      <c r="U21" s="258"/>
      <c r="V21" s="254"/>
      <c r="W21" s="255"/>
      <c r="X21" s="283"/>
    </row>
    <row r="22" spans="1:24" ht="22.5" x14ac:dyDescent="0.25">
      <c r="A22" s="209">
        <v>15</v>
      </c>
      <c r="B22" s="97">
        <v>2019</v>
      </c>
      <c r="C22" s="92" t="s">
        <v>227</v>
      </c>
      <c r="D22" s="83">
        <f t="shared" si="0"/>
        <v>2364766.02</v>
      </c>
      <c r="E22" s="84">
        <v>599452</v>
      </c>
      <c r="F22" s="88">
        <f t="shared" si="1"/>
        <v>0.25</v>
      </c>
      <c r="G22" s="86">
        <v>599452.42000000004</v>
      </c>
      <c r="H22" s="105">
        <f t="shared" si="2"/>
        <v>0.25</v>
      </c>
      <c r="I22" s="84">
        <v>1165861.6000000001</v>
      </c>
      <c r="J22" s="84"/>
      <c r="K22" s="88">
        <f t="shared" si="3"/>
        <v>0.49</v>
      </c>
      <c r="L22" s="77" t="s">
        <v>14</v>
      </c>
      <c r="P22" s="260"/>
      <c r="Q22" s="260"/>
      <c r="R22" s="262"/>
      <c r="S22" s="265"/>
      <c r="T22" s="264"/>
      <c r="U22" s="260"/>
      <c r="V22" s="260"/>
      <c r="W22" s="262"/>
      <c r="X22" s="72"/>
    </row>
    <row r="23" spans="1:24" ht="45" x14ac:dyDescent="0.25">
      <c r="A23" s="217">
        <v>16</v>
      </c>
      <c r="B23" s="97">
        <v>2019</v>
      </c>
      <c r="C23" s="92" t="s">
        <v>228</v>
      </c>
      <c r="D23" s="83">
        <f t="shared" si="0"/>
        <v>3075</v>
      </c>
      <c r="E23" s="84">
        <v>3075</v>
      </c>
      <c r="F23" s="88">
        <f t="shared" si="1"/>
        <v>1</v>
      </c>
      <c r="G23" s="86">
        <v>0</v>
      </c>
      <c r="H23" s="105">
        <f t="shared" si="2"/>
        <v>0</v>
      </c>
      <c r="I23" s="84">
        <v>0</v>
      </c>
      <c r="J23" s="84"/>
      <c r="K23" s="88">
        <f t="shared" si="3"/>
        <v>0</v>
      </c>
      <c r="L23" s="77" t="s">
        <v>14</v>
      </c>
      <c r="P23" s="260"/>
      <c r="Q23" s="260"/>
      <c r="R23" s="262"/>
      <c r="S23" s="265"/>
      <c r="T23" s="264"/>
      <c r="U23" s="260"/>
      <c r="V23" s="260"/>
      <c r="W23" s="262"/>
      <c r="X23" s="72"/>
    </row>
    <row r="24" spans="1:24" ht="22.5" x14ac:dyDescent="0.25">
      <c r="A24" s="215">
        <v>17</v>
      </c>
      <c r="B24" s="97">
        <v>2020</v>
      </c>
      <c r="C24" s="92" t="s">
        <v>229</v>
      </c>
      <c r="D24" s="83">
        <f t="shared" si="0"/>
        <v>3577733.93</v>
      </c>
      <c r="E24" s="84">
        <v>911229.57</v>
      </c>
      <c r="F24" s="88">
        <f t="shared" si="1"/>
        <v>0.25</v>
      </c>
      <c r="G24" s="86">
        <v>911229.57</v>
      </c>
      <c r="H24" s="105">
        <f t="shared" si="2"/>
        <v>0.25</v>
      </c>
      <c r="I24" s="84">
        <v>1755274.79</v>
      </c>
      <c r="J24" s="84">
        <v>0</v>
      </c>
      <c r="K24" s="88">
        <f t="shared" si="3"/>
        <v>0.49</v>
      </c>
      <c r="L24" s="77" t="s">
        <v>14</v>
      </c>
      <c r="P24" s="248"/>
      <c r="Q24" s="248"/>
      <c r="R24" s="249"/>
      <c r="S24" s="250"/>
      <c r="T24" s="251"/>
      <c r="U24" s="248"/>
      <c r="V24" s="252"/>
      <c r="W24" s="249"/>
      <c r="X24" s="258"/>
    </row>
    <row r="25" spans="1:24" ht="45" x14ac:dyDescent="0.25">
      <c r="A25" s="215">
        <v>18</v>
      </c>
      <c r="B25" s="97" t="s">
        <v>461</v>
      </c>
      <c r="C25" s="92" t="s">
        <v>230</v>
      </c>
      <c r="D25" s="83">
        <f t="shared" si="0"/>
        <v>24354</v>
      </c>
      <c r="E25" s="84">
        <f>8487+3690</f>
        <v>12177</v>
      </c>
      <c r="F25" s="88">
        <f t="shared" si="1"/>
        <v>0.5</v>
      </c>
      <c r="G25" s="86">
        <v>12177</v>
      </c>
      <c r="H25" s="105">
        <f t="shared" si="2"/>
        <v>0.5</v>
      </c>
      <c r="I25" s="84">
        <v>0</v>
      </c>
      <c r="J25" s="84">
        <v>0</v>
      </c>
      <c r="K25" s="88">
        <f t="shared" si="3"/>
        <v>0</v>
      </c>
      <c r="L25" s="77" t="s">
        <v>14</v>
      </c>
      <c r="P25" s="260"/>
      <c r="Q25" s="260"/>
      <c r="R25" s="262"/>
      <c r="S25" s="265"/>
      <c r="T25" s="264"/>
      <c r="U25" s="260"/>
      <c r="V25" s="260"/>
      <c r="W25" s="262"/>
      <c r="X25" s="72"/>
    </row>
    <row r="26" spans="1:24" ht="29.25" customHeight="1" x14ac:dyDescent="0.25">
      <c r="A26" s="209">
        <v>19</v>
      </c>
      <c r="B26" s="97" t="s">
        <v>465</v>
      </c>
      <c r="C26" s="92" t="s">
        <v>231</v>
      </c>
      <c r="D26" s="83">
        <f t="shared" si="0"/>
        <v>3199683.9</v>
      </c>
      <c r="E26" s="86">
        <v>1026964.41</v>
      </c>
      <c r="F26" s="88">
        <f t="shared" si="1"/>
        <v>0.32</v>
      </c>
      <c r="G26" s="86">
        <v>1026964.4</v>
      </c>
      <c r="H26" s="105">
        <f t="shared" si="2"/>
        <v>0.32</v>
      </c>
      <c r="I26" s="84">
        <v>1145755.0900000001</v>
      </c>
      <c r="J26" s="84">
        <v>0</v>
      </c>
      <c r="K26" s="88">
        <f t="shared" si="3"/>
        <v>0.36</v>
      </c>
      <c r="L26" s="235" t="s">
        <v>14</v>
      </c>
      <c r="M26" s="52"/>
      <c r="P26" s="260"/>
      <c r="Q26" s="260"/>
      <c r="R26" s="262"/>
      <c r="S26" s="265"/>
      <c r="T26" s="264"/>
      <c r="U26" s="260"/>
      <c r="V26" s="260"/>
      <c r="W26" s="262"/>
      <c r="X26" s="72"/>
    </row>
    <row r="27" spans="1:24" ht="33.75" x14ac:dyDescent="0.25">
      <c r="A27" s="217">
        <v>20</v>
      </c>
      <c r="B27" s="81">
        <v>2021</v>
      </c>
      <c r="C27" s="89" t="s">
        <v>232</v>
      </c>
      <c r="D27" s="83">
        <f>E27+G27+I27+J27</f>
        <v>378976.22</v>
      </c>
      <c r="E27" s="84">
        <f>98374.25+1470</f>
        <v>99844.25</v>
      </c>
      <c r="F27" s="88">
        <f t="shared" si="1"/>
        <v>0.26</v>
      </c>
      <c r="G27" s="86">
        <v>99844.25</v>
      </c>
      <c r="H27" s="105">
        <f t="shared" si="2"/>
        <v>0.26</v>
      </c>
      <c r="I27" s="84">
        <v>179287.72</v>
      </c>
      <c r="J27" s="84">
        <v>0</v>
      </c>
      <c r="K27" s="88">
        <f t="shared" si="3"/>
        <v>0.47</v>
      </c>
      <c r="L27" s="77" t="s">
        <v>14</v>
      </c>
      <c r="P27" s="72"/>
      <c r="Q27" s="72"/>
      <c r="R27" s="272"/>
      <c r="S27" s="273"/>
      <c r="T27" s="274"/>
      <c r="U27" s="72"/>
      <c r="V27" s="72"/>
      <c r="W27" s="272"/>
      <c r="X27" s="259"/>
    </row>
    <row r="28" spans="1:24" ht="45" x14ac:dyDescent="0.25">
      <c r="A28" s="215">
        <v>21</v>
      </c>
      <c r="B28" s="81">
        <v>2021</v>
      </c>
      <c r="C28" s="89" t="s">
        <v>233</v>
      </c>
      <c r="D28" s="83">
        <f t="shared" si="0"/>
        <v>244184.15</v>
      </c>
      <c r="E28" s="84">
        <v>122092.08</v>
      </c>
      <c r="F28" s="88">
        <f t="shared" si="1"/>
        <v>0.5</v>
      </c>
      <c r="G28" s="86">
        <v>122092.07</v>
      </c>
      <c r="H28" s="105">
        <f t="shared" si="2"/>
        <v>0.5</v>
      </c>
      <c r="I28" s="84">
        <v>0</v>
      </c>
      <c r="J28" s="84">
        <v>0</v>
      </c>
      <c r="K28" s="88">
        <f t="shared" si="3"/>
        <v>0</v>
      </c>
      <c r="L28" s="77" t="s">
        <v>14</v>
      </c>
      <c r="P28" s="72"/>
      <c r="Q28" s="72"/>
      <c r="R28" s="272"/>
      <c r="S28" s="273"/>
      <c r="T28" s="274"/>
      <c r="U28" s="72"/>
      <c r="V28" s="72"/>
      <c r="W28" s="272"/>
      <c r="X28" s="259"/>
    </row>
    <row r="29" spans="1:24" ht="33.75" x14ac:dyDescent="0.25">
      <c r="A29" s="215">
        <v>22</v>
      </c>
      <c r="B29" s="81">
        <v>2022</v>
      </c>
      <c r="C29" s="89" t="s">
        <v>234</v>
      </c>
      <c r="D29" s="83">
        <f t="shared" si="0"/>
        <v>957751.68</v>
      </c>
      <c r="E29" s="84">
        <v>239437.92</v>
      </c>
      <c r="F29" s="88">
        <f t="shared" si="1"/>
        <v>0.25</v>
      </c>
      <c r="G29" s="86">
        <v>239437.92</v>
      </c>
      <c r="H29" s="105">
        <f t="shared" si="2"/>
        <v>0.25</v>
      </c>
      <c r="I29" s="84">
        <v>478875.84</v>
      </c>
      <c r="J29" s="84">
        <v>0</v>
      </c>
      <c r="K29" s="88">
        <f t="shared" si="3"/>
        <v>0.5</v>
      </c>
      <c r="L29" s="77" t="s">
        <v>14</v>
      </c>
      <c r="M29" s="52"/>
      <c r="P29" s="72"/>
      <c r="Q29" s="72"/>
      <c r="R29" s="272"/>
      <c r="S29" s="273"/>
      <c r="T29" s="274"/>
      <c r="U29" s="72"/>
      <c r="V29" s="72"/>
      <c r="W29" s="272"/>
      <c r="X29" s="259"/>
    </row>
    <row r="30" spans="1:24" ht="43.5" customHeight="1" x14ac:dyDescent="0.25">
      <c r="A30" s="209">
        <v>23</v>
      </c>
      <c r="B30" s="81">
        <v>2022</v>
      </c>
      <c r="C30" s="89" t="s">
        <v>235</v>
      </c>
      <c r="D30" s="83">
        <f t="shared" si="0"/>
        <v>414018</v>
      </c>
      <c r="E30" s="84">
        <v>79089</v>
      </c>
      <c r="F30" s="88">
        <f t="shared" si="1"/>
        <v>0.19</v>
      </c>
      <c r="G30" s="86">
        <v>79089</v>
      </c>
      <c r="H30" s="105">
        <f t="shared" si="2"/>
        <v>0.19</v>
      </c>
      <c r="I30" s="84">
        <v>255840</v>
      </c>
      <c r="J30" s="84"/>
      <c r="K30" s="88">
        <f t="shared" si="3"/>
        <v>0.62</v>
      </c>
      <c r="L30" s="77" t="s">
        <v>14</v>
      </c>
      <c r="P30" s="72"/>
      <c r="Q30" s="72"/>
      <c r="R30" s="272"/>
      <c r="S30" s="273"/>
      <c r="T30" s="274"/>
      <c r="U30" s="72"/>
      <c r="V30" s="72"/>
      <c r="W30" s="272"/>
      <c r="X30" s="259"/>
    </row>
    <row r="31" spans="1:24" ht="45" x14ac:dyDescent="0.25">
      <c r="A31" s="217">
        <v>24</v>
      </c>
      <c r="B31" s="81">
        <v>2022</v>
      </c>
      <c r="C31" s="89" t="s">
        <v>236</v>
      </c>
      <c r="D31" s="83">
        <f t="shared" si="0"/>
        <v>364203</v>
      </c>
      <c r="E31" s="84">
        <v>54181.5</v>
      </c>
      <c r="F31" s="88">
        <f t="shared" si="1"/>
        <v>0.15</v>
      </c>
      <c r="G31" s="86">
        <v>54181.5</v>
      </c>
      <c r="H31" s="105">
        <f t="shared" si="2"/>
        <v>0.15</v>
      </c>
      <c r="I31" s="84">
        <v>255840</v>
      </c>
      <c r="J31" s="84"/>
      <c r="K31" s="88">
        <f t="shared" si="3"/>
        <v>0.7</v>
      </c>
      <c r="L31" s="77" t="s">
        <v>14</v>
      </c>
      <c r="P31" s="72"/>
      <c r="Q31" s="72"/>
      <c r="R31" s="272"/>
      <c r="S31" s="273"/>
      <c r="T31" s="274"/>
      <c r="U31" s="72"/>
      <c r="V31" s="72"/>
      <c r="W31" s="272"/>
      <c r="X31" s="259"/>
    </row>
    <row r="32" spans="1:24" ht="45" x14ac:dyDescent="0.25">
      <c r="A32" s="215">
        <v>25</v>
      </c>
      <c r="B32" s="81">
        <v>2022</v>
      </c>
      <c r="C32" s="89" t="s">
        <v>237</v>
      </c>
      <c r="D32" s="83">
        <f t="shared" si="0"/>
        <v>456453</v>
      </c>
      <c r="E32" s="84">
        <v>100306.5</v>
      </c>
      <c r="F32" s="88">
        <f t="shared" si="1"/>
        <v>0.22</v>
      </c>
      <c r="G32" s="86">
        <v>100306.5</v>
      </c>
      <c r="H32" s="105">
        <f t="shared" si="2"/>
        <v>0.22</v>
      </c>
      <c r="I32" s="84">
        <v>255840</v>
      </c>
      <c r="J32" s="84"/>
      <c r="K32" s="88">
        <f t="shared" si="3"/>
        <v>0.56000000000000005</v>
      </c>
      <c r="L32" s="77" t="s">
        <v>14</v>
      </c>
      <c r="P32" s="72"/>
      <c r="Q32" s="72"/>
      <c r="R32" s="272"/>
      <c r="S32" s="273"/>
      <c r="T32" s="274"/>
      <c r="U32" s="72"/>
      <c r="V32" s="72"/>
      <c r="W32" s="272"/>
      <c r="X32" s="259"/>
    </row>
    <row r="33" spans="1:24" ht="45" x14ac:dyDescent="0.25">
      <c r="A33" s="215">
        <v>26</v>
      </c>
      <c r="B33" s="81">
        <v>2022</v>
      </c>
      <c r="C33" s="89" t="s">
        <v>238</v>
      </c>
      <c r="D33" s="83">
        <f t="shared" si="0"/>
        <v>376503</v>
      </c>
      <c r="E33" s="84">
        <v>60331.5</v>
      </c>
      <c r="F33" s="88">
        <f t="shared" si="1"/>
        <v>0.16</v>
      </c>
      <c r="G33" s="86">
        <v>60331.5</v>
      </c>
      <c r="H33" s="105">
        <f t="shared" si="2"/>
        <v>0.16</v>
      </c>
      <c r="I33" s="84">
        <v>255840</v>
      </c>
      <c r="J33" s="84"/>
      <c r="K33" s="88">
        <f t="shared" si="3"/>
        <v>0.68</v>
      </c>
      <c r="L33" s="77" t="s">
        <v>14</v>
      </c>
      <c r="P33" s="72"/>
      <c r="Q33" s="72"/>
      <c r="R33" s="272"/>
      <c r="S33" s="273"/>
      <c r="T33" s="274"/>
      <c r="U33" s="72"/>
      <c r="V33" s="72"/>
      <c r="W33" s="272"/>
      <c r="X33" s="259"/>
    </row>
    <row r="34" spans="1:24" ht="33.75" x14ac:dyDescent="0.25">
      <c r="A34" s="209">
        <v>27</v>
      </c>
      <c r="B34" s="81" t="s">
        <v>516</v>
      </c>
      <c r="C34" s="155" t="s">
        <v>409</v>
      </c>
      <c r="D34" s="83">
        <f t="shared" ref="D34:D36" si="12">E34+G34+I34+J34</f>
        <v>6200967.2999999998</v>
      </c>
      <c r="E34" s="84">
        <v>1430600.27</v>
      </c>
      <c r="F34" s="88">
        <f t="shared" ref="F34:F36" si="13">E34/D34</f>
        <v>0.23</v>
      </c>
      <c r="G34" s="86">
        <v>1430600.26</v>
      </c>
      <c r="H34" s="105">
        <f t="shared" ref="H34:H36" si="14">G34/D34</f>
        <v>0.23</v>
      </c>
      <c r="I34" s="84">
        <v>3339766.77</v>
      </c>
      <c r="J34" s="84">
        <v>0</v>
      </c>
      <c r="K34" s="88">
        <f t="shared" ref="K34:K36" si="15">(I34+J34)/D34</f>
        <v>0.54</v>
      </c>
      <c r="L34" s="77" t="s">
        <v>14</v>
      </c>
    </row>
    <row r="35" spans="1:24" ht="45" x14ac:dyDescent="0.25">
      <c r="A35" s="217">
        <v>28</v>
      </c>
      <c r="B35" s="81" t="s">
        <v>517</v>
      </c>
      <c r="C35" s="155" t="s">
        <v>410</v>
      </c>
      <c r="D35" s="83">
        <f t="shared" si="12"/>
        <v>131610</v>
      </c>
      <c r="E35" s="84">
        <f>47355+18450</f>
        <v>65805</v>
      </c>
      <c r="F35" s="88">
        <f t="shared" si="13"/>
        <v>0.5</v>
      </c>
      <c r="G35" s="86">
        <f>65805</f>
        <v>65805</v>
      </c>
      <c r="H35" s="105">
        <f t="shared" si="14"/>
        <v>0.5</v>
      </c>
      <c r="I35" s="84">
        <v>0</v>
      </c>
      <c r="J35" s="84">
        <v>0</v>
      </c>
      <c r="K35" s="88">
        <f t="shared" si="15"/>
        <v>0</v>
      </c>
      <c r="L35" s="77" t="s">
        <v>14</v>
      </c>
      <c r="M35" s="115"/>
    </row>
    <row r="36" spans="1:24" ht="45" x14ac:dyDescent="0.25">
      <c r="A36" s="215">
        <v>29</v>
      </c>
      <c r="B36" s="81" t="s">
        <v>502</v>
      </c>
      <c r="C36" s="155" t="s">
        <v>411</v>
      </c>
      <c r="D36" s="83">
        <f t="shared" si="12"/>
        <v>328287</v>
      </c>
      <c r="E36" s="84">
        <v>164143.5</v>
      </c>
      <c r="F36" s="88">
        <f t="shared" si="13"/>
        <v>0.5</v>
      </c>
      <c r="G36" s="86">
        <f>37699.5+126444</f>
        <v>164143.5</v>
      </c>
      <c r="H36" s="105">
        <f t="shared" si="14"/>
        <v>0.5</v>
      </c>
      <c r="I36" s="84">
        <v>0</v>
      </c>
      <c r="J36" s="84">
        <v>0</v>
      </c>
      <c r="K36" s="88">
        <f t="shared" si="15"/>
        <v>0</v>
      </c>
      <c r="L36" s="77" t="s">
        <v>14</v>
      </c>
      <c r="M36" s="115"/>
    </row>
    <row r="37" spans="1:24" ht="90" x14ac:dyDescent="0.25">
      <c r="A37" s="215">
        <v>30</v>
      </c>
      <c r="B37" s="81" t="s">
        <v>516</v>
      </c>
      <c r="C37" s="89" t="s">
        <v>478</v>
      </c>
      <c r="D37" s="83">
        <f>E37+G37+I37+J37</f>
        <v>1045614.39</v>
      </c>
      <c r="E37" s="84">
        <v>282009.63</v>
      </c>
      <c r="F37" s="88">
        <f>E37/D37</f>
        <v>0.27</v>
      </c>
      <c r="G37" s="86">
        <v>281604.76</v>
      </c>
      <c r="H37" s="105">
        <f>G37/D37</f>
        <v>0.27</v>
      </c>
      <c r="I37" s="84">
        <v>482000</v>
      </c>
      <c r="J37" s="84">
        <v>0</v>
      </c>
      <c r="K37" s="88">
        <f>(I37+J37)/D37</f>
        <v>0.46</v>
      </c>
      <c r="L37" s="77" t="s">
        <v>14</v>
      </c>
      <c r="M37" s="115"/>
    </row>
    <row r="38" spans="1:24" ht="90" x14ac:dyDescent="0.25">
      <c r="A38" s="209">
        <v>31</v>
      </c>
      <c r="B38" s="81" t="s">
        <v>517</v>
      </c>
      <c r="C38" s="89" t="s">
        <v>479</v>
      </c>
      <c r="D38" s="83">
        <f t="shared" ref="D38" si="16">E38+G38+I38+J38</f>
        <v>1163725.1399999999</v>
      </c>
      <c r="E38" s="84">
        <v>261065.01</v>
      </c>
      <c r="F38" s="88">
        <f t="shared" ref="F38" si="17">E38/D38</f>
        <v>0.22</v>
      </c>
      <c r="G38" s="86">
        <v>260660.13</v>
      </c>
      <c r="H38" s="105">
        <f t="shared" ref="H38" si="18">G38/D38</f>
        <v>0.22</v>
      </c>
      <c r="I38" s="84">
        <v>642000</v>
      </c>
      <c r="J38" s="84">
        <v>0</v>
      </c>
      <c r="K38" s="88">
        <f t="shared" ref="K38" si="19">(I38+J38)/D38</f>
        <v>0.55000000000000004</v>
      </c>
      <c r="L38" s="77" t="s">
        <v>14</v>
      </c>
      <c r="M38" s="115"/>
    </row>
    <row r="39" spans="1:24" ht="56.25" x14ac:dyDescent="0.25">
      <c r="A39" s="217">
        <v>32</v>
      </c>
      <c r="B39" s="81">
        <v>2025</v>
      </c>
      <c r="C39" s="89" t="s">
        <v>434</v>
      </c>
      <c r="D39" s="83">
        <f t="shared" ref="D39" si="20">E39+G39+I39+J39</f>
        <v>86100</v>
      </c>
      <c r="E39" s="84">
        <v>43050</v>
      </c>
      <c r="F39" s="88">
        <f t="shared" ref="F39:F40" si="21">E39/D39</f>
        <v>0.5</v>
      </c>
      <c r="G39" s="86">
        <v>43050</v>
      </c>
      <c r="H39" s="105">
        <f t="shared" ref="H39:H40" si="22">G39/D39</f>
        <v>0.5</v>
      </c>
      <c r="I39" s="84">
        <v>0</v>
      </c>
      <c r="J39" s="84">
        <v>0</v>
      </c>
      <c r="K39" s="88">
        <f t="shared" ref="K39:K40" si="23">(I39+J39)/D39</f>
        <v>0</v>
      </c>
      <c r="L39" s="77" t="s">
        <v>14</v>
      </c>
    </row>
    <row r="40" spans="1:24" ht="30.75" customHeight="1" x14ac:dyDescent="0.25">
      <c r="A40" s="366" t="s">
        <v>34</v>
      </c>
      <c r="B40" s="367"/>
      <c r="C40" s="368"/>
      <c r="D40" s="224">
        <f>SUM(D8:D39)</f>
        <v>23240050.399999999</v>
      </c>
      <c r="E40" s="224">
        <f>SUM(E8:E39)</f>
        <v>6530636.4800000004</v>
      </c>
      <c r="F40" s="226">
        <f t="shared" si="21"/>
        <v>0.28000000000000003</v>
      </c>
      <c r="G40" s="224">
        <f>SUM(G8:G39)</f>
        <v>6497232.1100000003</v>
      </c>
      <c r="H40" s="227">
        <f t="shared" si="22"/>
        <v>0.28000000000000003</v>
      </c>
      <c r="I40" s="224">
        <f>SUM(I8:I39)</f>
        <v>10212181.810000001</v>
      </c>
      <c r="J40" s="224">
        <f>SUM(J8:J39)</f>
        <v>0</v>
      </c>
      <c r="K40" s="226">
        <f t="shared" si="23"/>
        <v>0.44</v>
      </c>
      <c r="L40" s="225"/>
    </row>
  </sheetData>
  <mergeCells count="18">
    <mergeCell ref="I5:I6"/>
    <mergeCell ref="J5:J6"/>
    <mergeCell ref="K5:K6"/>
    <mergeCell ref="A40:C40"/>
    <mergeCell ref="A2:L2"/>
    <mergeCell ref="A3:A6"/>
    <mergeCell ref="B3:B6"/>
    <mergeCell ref="C3:C6"/>
    <mergeCell ref="D3:D6"/>
    <mergeCell ref="E3:K3"/>
    <mergeCell ref="L3:L6"/>
    <mergeCell ref="E4:F4"/>
    <mergeCell ref="G4:H4"/>
    <mergeCell ref="I4:K4"/>
    <mergeCell ref="E5:E6"/>
    <mergeCell ref="F5:F6"/>
    <mergeCell ref="G5:G6"/>
    <mergeCell ref="H5:H6"/>
  </mergeCells>
  <phoneticPr fontId="19" type="noConversion"/>
  <pageMargins left="0.7" right="0.7" top="0.75" bottom="0.75" header="0.3" footer="0.3"/>
  <pageSetup paperSize="8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51"/>
  <sheetViews>
    <sheetView workbookViewId="0">
      <selection activeCell="C8" sqref="C8"/>
    </sheetView>
  </sheetViews>
  <sheetFormatPr defaultRowHeight="15" x14ac:dyDescent="0.25"/>
  <cols>
    <col min="1" max="1" width="9.140625" style="214"/>
    <col min="2" max="2" width="20.140625" style="50" customWidth="1"/>
    <col min="3" max="3" width="41.140625" customWidth="1"/>
    <col min="4" max="4" width="15.7109375" style="54" customWidth="1"/>
    <col min="5" max="5" width="16" style="54" customWidth="1"/>
    <col min="6" max="6" width="8.85546875" customWidth="1"/>
    <col min="7" max="7" width="16.28515625" style="54" customWidth="1"/>
    <col min="8" max="8" width="9" customWidth="1"/>
    <col min="9" max="9" width="15.7109375" style="54" customWidth="1"/>
    <col min="10" max="10" width="14.5703125" style="54" customWidth="1"/>
    <col min="11" max="11" width="9" customWidth="1"/>
    <col min="12" max="12" width="17.5703125" style="50" customWidth="1"/>
    <col min="13" max="13" width="14.85546875" bestFit="1" customWidth="1"/>
    <col min="14" max="14" width="12.5703125" customWidth="1"/>
  </cols>
  <sheetData>
    <row r="2" spans="1:23" ht="73.5" customHeight="1" x14ac:dyDescent="0.25">
      <c r="A2" s="338" t="s">
        <v>239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23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23" ht="31.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23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23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23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23" ht="24" customHeight="1" x14ac:dyDescent="0.25">
      <c r="A8" s="215">
        <v>1</v>
      </c>
      <c r="B8" s="97">
        <v>2015</v>
      </c>
      <c r="C8" s="92" t="s">
        <v>48</v>
      </c>
      <c r="D8" s="83">
        <f>E8+G8+I8+J8</f>
        <v>235831.65</v>
      </c>
      <c r="E8" s="84">
        <v>117915.82</v>
      </c>
      <c r="F8" s="88">
        <f>E8/D8</f>
        <v>0.5</v>
      </c>
      <c r="G8" s="86">
        <v>117915.83</v>
      </c>
      <c r="H8" s="105">
        <f>G8/D8</f>
        <v>0.5</v>
      </c>
      <c r="I8" s="84">
        <v>0</v>
      </c>
      <c r="J8" s="84">
        <v>0</v>
      </c>
      <c r="K8" s="88">
        <f>(I8+J8)/D8</f>
        <v>0</v>
      </c>
      <c r="L8" s="235" t="s">
        <v>14</v>
      </c>
      <c r="O8" s="260"/>
      <c r="P8" s="260"/>
      <c r="Q8" s="262"/>
      <c r="R8" s="265"/>
      <c r="S8" s="264"/>
      <c r="T8" s="260"/>
      <c r="U8" s="260"/>
      <c r="V8" s="262"/>
      <c r="W8" s="260"/>
    </row>
    <row r="9" spans="1:23" ht="33.75" x14ac:dyDescent="0.25">
      <c r="A9" s="215">
        <v>2</v>
      </c>
      <c r="B9" s="97">
        <v>2015</v>
      </c>
      <c r="C9" s="92" t="s">
        <v>49</v>
      </c>
      <c r="D9" s="83">
        <f t="shared" ref="D9:D45" si="0">E9+G9+I9+J9</f>
        <v>44899.5</v>
      </c>
      <c r="E9" s="84">
        <v>22449.75</v>
      </c>
      <c r="F9" s="88">
        <f t="shared" ref="F9:F45" si="1">E9/D9</f>
        <v>0.5</v>
      </c>
      <c r="G9" s="86">
        <v>22449.75</v>
      </c>
      <c r="H9" s="105">
        <f t="shared" ref="H9:H45" si="2">G9/D9</f>
        <v>0.5</v>
      </c>
      <c r="I9" s="84">
        <v>0</v>
      </c>
      <c r="J9" s="84">
        <v>0</v>
      </c>
      <c r="K9" s="88">
        <f t="shared" ref="K9:K45" si="3">(I9+J9)/D9</f>
        <v>0</v>
      </c>
      <c r="L9" s="235" t="s">
        <v>14</v>
      </c>
      <c r="O9" s="260"/>
      <c r="P9" s="260"/>
      <c r="Q9" s="262"/>
      <c r="R9" s="265"/>
      <c r="S9" s="264"/>
      <c r="T9" s="260"/>
      <c r="U9" s="260"/>
      <c r="V9" s="262"/>
      <c r="W9" s="260"/>
    </row>
    <row r="10" spans="1:23" ht="45" x14ac:dyDescent="0.25">
      <c r="A10" s="216">
        <v>3</v>
      </c>
      <c r="B10" s="119">
        <v>2015</v>
      </c>
      <c r="C10" s="92" t="s">
        <v>50</v>
      </c>
      <c r="D10" s="83">
        <f t="shared" si="0"/>
        <v>9471</v>
      </c>
      <c r="E10" s="84">
        <v>4735.5</v>
      </c>
      <c r="F10" s="88">
        <f t="shared" si="1"/>
        <v>0.5</v>
      </c>
      <c r="G10" s="86">
        <v>4735.5</v>
      </c>
      <c r="H10" s="105">
        <f t="shared" si="2"/>
        <v>0.5</v>
      </c>
      <c r="I10" s="84">
        <v>0</v>
      </c>
      <c r="J10" s="84">
        <v>0</v>
      </c>
      <c r="K10" s="88">
        <f t="shared" si="3"/>
        <v>0</v>
      </c>
      <c r="L10" s="235" t="s">
        <v>14</v>
      </c>
      <c r="O10" s="260"/>
      <c r="P10" s="260"/>
      <c r="Q10" s="262"/>
      <c r="R10" s="265"/>
      <c r="S10" s="264"/>
      <c r="T10" s="260"/>
      <c r="U10" s="260"/>
      <c r="V10" s="262"/>
      <c r="W10" s="260"/>
    </row>
    <row r="11" spans="1:23" ht="26.25" customHeight="1" x14ac:dyDescent="0.25">
      <c r="A11" s="215">
        <v>4</v>
      </c>
      <c r="B11" s="97">
        <v>2016</v>
      </c>
      <c r="C11" s="92" t="s">
        <v>51</v>
      </c>
      <c r="D11" s="83">
        <f t="shared" si="0"/>
        <v>36531</v>
      </c>
      <c r="E11" s="84">
        <v>18265.5</v>
      </c>
      <c r="F11" s="88">
        <f t="shared" si="1"/>
        <v>0.5</v>
      </c>
      <c r="G11" s="86">
        <v>18265.5</v>
      </c>
      <c r="H11" s="105">
        <f t="shared" si="2"/>
        <v>0.5</v>
      </c>
      <c r="I11" s="84">
        <v>0</v>
      </c>
      <c r="J11" s="84">
        <v>0</v>
      </c>
      <c r="K11" s="88">
        <f t="shared" si="3"/>
        <v>0</v>
      </c>
      <c r="L11" s="235" t="s">
        <v>14</v>
      </c>
      <c r="O11" s="260"/>
      <c r="P11" s="260"/>
      <c r="Q11" s="262"/>
      <c r="R11" s="265"/>
      <c r="S11" s="264"/>
      <c r="T11" s="260"/>
      <c r="U11" s="260"/>
      <c r="V11" s="262"/>
      <c r="W11" s="260"/>
    </row>
    <row r="12" spans="1:23" ht="33.75" x14ac:dyDescent="0.25">
      <c r="A12" s="215">
        <v>5</v>
      </c>
      <c r="B12" s="97">
        <v>2016</v>
      </c>
      <c r="C12" s="92" t="s">
        <v>52</v>
      </c>
      <c r="D12" s="83">
        <f t="shared" si="0"/>
        <v>316072.27</v>
      </c>
      <c r="E12" s="84">
        <v>158036.14000000001</v>
      </c>
      <c r="F12" s="88">
        <f t="shared" si="1"/>
        <v>0.5</v>
      </c>
      <c r="G12" s="86">
        <v>158036.13</v>
      </c>
      <c r="H12" s="105">
        <f t="shared" si="2"/>
        <v>0.5</v>
      </c>
      <c r="I12" s="84">
        <v>0</v>
      </c>
      <c r="J12" s="84">
        <v>0</v>
      </c>
      <c r="K12" s="88">
        <f t="shared" si="3"/>
        <v>0</v>
      </c>
      <c r="L12" s="235" t="s">
        <v>14</v>
      </c>
      <c r="O12" s="260"/>
      <c r="P12" s="260"/>
      <c r="Q12" s="262"/>
      <c r="R12" s="265"/>
      <c r="S12" s="264"/>
      <c r="T12" s="260"/>
      <c r="U12" s="260"/>
      <c r="V12" s="260"/>
      <c r="W12" s="260"/>
    </row>
    <row r="13" spans="1:23" ht="33.75" x14ac:dyDescent="0.25">
      <c r="A13" s="216">
        <v>6</v>
      </c>
      <c r="B13" s="97">
        <v>2016</v>
      </c>
      <c r="C13" s="92" t="s">
        <v>53</v>
      </c>
      <c r="D13" s="83">
        <f t="shared" si="0"/>
        <v>1290464.33</v>
      </c>
      <c r="E13" s="84">
        <v>645232.17000000004</v>
      </c>
      <c r="F13" s="88">
        <f t="shared" si="1"/>
        <v>0.5</v>
      </c>
      <c r="G13" s="86">
        <v>645232.16</v>
      </c>
      <c r="H13" s="105">
        <f t="shared" si="2"/>
        <v>0.5</v>
      </c>
      <c r="I13" s="84">
        <v>0</v>
      </c>
      <c r="J13" s="84">
        <v>0</v>
      </c>
      <c r="K13" s="88">
        <f t="shared" si="3"/>
        <v>0</v>
      </c>
      <c r="L13" s="235" t="s">
        <v>14</v>
      </c>
      <c r="O13" s="260"/>
      <c r="P13" s="260"/>
      <c r="Q13" s="262"/>
      <c r="R13" s="265"/>
      <c r="S13" s="264"/>
      <c r="T13" s="260"/>
      <c r="U13" s="265"/>
      <c r="V13" s="265"/>
      <c r="W13" s="265"/>
    </row>
    <row r="14" spans="1:23" x14ac:dyDescent="0.25">
      <c r="A14" s="215">
        <v>7</v>
      </c>
      <c r="B14" s="97">
        <v>2017</v>
      </c>
      <c r="C14" s="92" t="s">
        <v>54</v>
      </c>
      <c r="D14" s="83">
        <f t="shared" si="0"/>
        <v>498809.07</v>
      </c>
      <c r="E14" s="84">
        <v>249404.54</v>
      </c>
      <c r="F14" s="88">
        <f t="shared" si="1"/>
        <v>0.5</v>
      </c>
      <c r="G14" s="86">
        <v>249404.53</v>
      </c>
      <c r="H14" s="105">
        <f t="shared" si="2"/>
        <v>0.5</v>
      </c>
      <c r="I14" s="84">
        <v>0</v>
      </c>
      <c r="J14" s="84">
        <v>0</v>
      </c>
      <c r="K14" s="88">
        <f t="shared" si="3"/>
        <v>0</v>
      </c>
      <c r="L14" s="236" t="s">
        <v>14</v>
      </c>
      <c r="O14" s="266"/>
      <c r="P14" s="266"/>
      <c r="Q14" s="267"/>
      <c r="R14" s="265"/>
      <c r="S14" s="264"/>
      <c r="T14" s="260"/>
      <c r="U14" s="269"/>
      <c r="V14" s="270"/>
      <c r="W14" s="269"/>
    </row>
    <row r="15" spans="1:23" ht="33.75" x14ac:dyDescent="0.25">
      <c r="A15" s="215">
        <v>8</v>
      </c>
      <c r="B15" s="97">
        <v>2017</v>
      </c>
      <c r="C15" s="92" t="s">
        <v>55</v>
      </c>
      <c r="D15" s="83">
        <f t="shared" si="0"/>
        <v>1471533.24</v>
      </c>
      <c r="E15" s="84">
        <v>735766.62</v>
      </c>
      <c r="F15" s="88">
        <f t="shared" si="1"/>
        <v>0.5</v>
      </c>
      <c r="G15" s="86">
        <v>735766.62</v>
      </c>
      <c r="H15" s="105">
        <f t="shared" si="2"/>
        <v>0.5</v>
      </c>
      <c r="I15" s="84">
        <v>0</v>
      </c>
      <c r="J15" s="84">
        <v>0</v>
      </c>
      <c r="K15" s="88">
        <f t="shared" si="3"/>
        <v>0</v>
      </c>
      <c r="L15" s="236" t="s">
        <v>14</v>
      </c>
      <c r="O15" s="266"/>
      <c r="P15" s="260"/>
      <c r="Q15" s="262"/>
      <c r="R15" s="265"/>
      <c r="S15" s="264"/>
      <c r="T15" s="260"/>
      <c r="U15" s="265"/>
      <c r="V15" s="264"/>
      <c r="W15" s="265"/>
    </row>
    <row r="16" spans="1:23" ht="22.5" x14ac:dyDescent="0.25">
      <c r="A16" s="216">
        <v>9</v>
      </c>
      <c r="B16" s="97">
        <v>2017</v>
      </c>
      <c r="C16" s="92" t="s">
        <v>51</v>
      </c>
      <c r="D16" s="83">
        <f t="shared" si="0"/>
        <v>14514</v>
      </c>
      <c r="E16" s="84">
        <v>7257</v>
      </c>
      <c r="F16" s="88">
        <f t="shared" si="1"/>
        <v>0.5</v>
      </c>
      <c r="G16" s="86">
        <v>7257</v>
      </c>
      <c r="H16" s="105">
        <f t="shared" si="2"/>
        <v>0.5</v>
      </c>
      <c r="I16" s="84">
        <v>0</v>
      </c>
      <c r="J16" s="84">
        <v>0</v>
      </c>
      <c r="K16" s="88">
        <f t="shared" si="3"/>
        <v>0</v>
      </c>
      <c r="L16" s="236" t="s">
        <v>14</v>
      </c>
      <c r="O16" s="269"/>
      <c r="P16" s="265"/>
      <c r="Q16" s="264"/>
      <c r="R16" s="265"/>
      <c r="S16" s="264"/>
      <c r="T16" s="265"/>
      <c r="U16" s="265"/>
      <c r="V16" s="264"/>
      <c r="W16" s="265"/>
    </row>
    <row r="17" spans="1:23" ht="33.75" x14ac:dyDescent="0.25">
      <c r="A17" s="215">
        <v>10</v>
      </c>
      <c r="B17" s="286" t="s">
        <v>459</v>
      </c>
      <c r="C17" s="92" t="s">
        <v>56</v>
      </c>
      <c r="D17" s="83">
        <f t="shared" si="0"/>
        <v>42854</v>
      </c>
      <c r="E17" s="84">
        <f>4822+16605</f>
        <v>21427</v>
      </c>
      <c r="F17" s="88">
        <f t="shared" si="1"/>
        <v>0.5</v>
      </c>
      <c r="G17" s="86">
        <v>21427</v>
      </c>
      <c r="H17" s="105">
        <f t="shared" si="2"/>
        <v>0.5</v>
      </c>
      <c r="I17" s="84">
        <v>0</v>
      </c>
      <c r="J17" s="84">
        <v>0</v>
      </c>
      <c r="K17" s="88">
        <f t="shared" si="3"/>
        <v>0</v>
      </c>
      <c r="L17" s="236" t="s">
        <v>14</v>
      </c>
      <c r="N17" s="133"/>
      <c r="O17" s="269"/>
      <c r="P17" s="265"/>
      <c r="Q17" s="264"/>
      <c r="R17" s="265"/>
      <c r="S17" s="264"/>
      <c r="T17" s="265"/>
      <c r="U17" s="265"/>
      <c r="V17" s="264"/>
      <c r="W17" s="265"/>
    </row>
    <row r="18" spans="1:23" ht="22.5" x14ac:dyDescent="0.25">
      <c r="A18" s="215">
        <v>11</v>
      </c>
      <c r="B18" s="97">
        <v>2017</v>
      </c>
      <c r="C18" s="92" t="s">
        <v>57</v>
      </c>
      <c r="D18" s="83">
        <f t="shared" si="0"/>
        <v>37146</v>
      </c>
      <c r="E18" s="84">
        <v>18573</v>
      </c>
      <c r="F18" s="88">
        <f t="shared" si="1"/>
        <v>0.5</v>
      </c>
      <c r="G18" s="86">
        <v>18573</v>
      </c>
      <c r="H18" s="105">
        <f t="shared" si="2"/>
        <v>0.5</v>
      </c>
      <c r="I18" s="84">
        <v>0</v>
      </c>
      <c r="J18" s="84">
        <v>0</v>
      </c>
      <c r="K18" s="88">
        <f t="shared" si="3"/>
        <v>0</v>
      </c>
      <c r="L18" s="236" t="s">
        <v>14</v>
      </c>
      <c r="O18" s="269"/>
      <c r="P18" s="265"/>
      <c r="Q18" s="264"/>
      <c r="R18" s="265"/>
      <c r="S18" s="264"/>
      <c r="T18" s="265"/>
      <c r="U18" s="265"/>
      <c r="V18" s="264"/>
      <c r="W18" s="265"/>
    </row>
    <row r="19" spans="1:23" ht="33.75" x14ac:dyDescent="0.25">
      <c r="A19" s="216">
        <v>12</v>
      </c>
      <c r="B19" s="97">
        <v>2017</v>
      </c>
      <c r="C19" s="92" t="s">
        <v>58</v>
      </c>
      <c r="D19" s="83">
        <f t="shared" si="0"/>
        <v>65571</v>
      </c>
      <c r="E19" s="84">
        <v>32785.5</v>
      </c>
      <c r="F19" s="88">
        <f t="shared" si="1"/>
        <v>0.5</v>
      </c>
      <c r="G19" s="86">
        <v>32785.5</v>
      </c>
      <c r="H19" s="105">
        <f t="shared" si="2"/>
        <v>0.5</v>
      </c>
      <c r="I19" s="84">
        <v>0</v>
      </c>
      <c r="J19" s="84">
        <v>0</v>
      </c>
      <c r="K19" s="88">
        <f t="shared" si="3"/>
        <v>0</v>
      </c>
      <c r="L19" s="236" t="s">
        <v>14</v>
      </c>
      <c r="O19" s="269"/>
      <c r="P19" s="265"/>
      <c r="Q19" s="264"/>
      <c r="R19" s="265"/>
      <c r="S19" s="264"/>
      <c r="T19" s="265"/>
      <c r="U19" s="265"/>
      <c r="V19" s="264"/>
      <c r="W19" s="265"/>
    </row>
    <row r="20" spans="1:23" ht="22.5" x14ac:dyDescent="0.25">
      <c r="A20" s="215">
        <v>13</v>
      </c>
      <c r="B20" s="97">
        <v>2018</v>
      </c>
      <c r="C20" s="92" t="s">
        <v>59</v>
      </c>
      <c r="D20" s="83">
        <f t="shared" si="0"/>
        <v>990663.95</v>
      </c>
      <c r="E20" s="84">
        <v>495331.98</v>
      </c>
      <c r="F20" s="88">
        <f t="shared" si="1"/>
        <v>0.5</v>
      </c>
      <c r="G20" s="86">
        <v>495331.97</v>
      </c>
      <c r="H20" s="105">
        <f t="shared" si="2"/>
        <v>0.5</v>
      </c>
      <c r="I20" s="84">
        <v>0</v>
      </c>
      <c r="J20" s="84">
        <v>0</v>
      </c>
      <c r="K20" s="88">
        <f t="shared" si="3"/>
        <v>0</v>
      </c>
      <c r="L20" s="236" t="s">
        <v>14</v>
      </c>
      <c r="N20" s="46"/>
      <c r="O20" s="269"/>
      <c r="P20" s="265"/>
      <c r="Q20" s="264"/>
      <c r="R20" s="265"/>
      <c r="S20" s="264"/>
      <c r="T20" s="265"/>
      <c r="U20" s="265"/>
      <c r="V20" s="264"/>
      <c r="W20" s="265"/>
    </row>
    <row r="21" spans="1:23" ht="22.5" x14ac:dyDescent="0.25">
      <c r="A21" s="215">
        <v>14</v>
      </c>
      <c r="B21" s="97">
        <v>2018</v>
      </c>
      <c r="C21" s="92" t="s">
        <v>60</v>
      </c>
      <c r="D21" s="83">
        <f t="shared" si="0"/>
        <v>9963</v>
      </c>
      <c r="E21" s="84">
        <v>4981.5</v>
      </c>
      <c r="F21" s="88">
        <f t="shared" si="1"/>
        <v>0.5</v>
      </c>
      <c r="G21" s="86">
        <v>4981.5</v>
      </c>
      <c r="H21" s="105">
        <f t="shared" si="2"/>
        <v>0.5</v>
      </c>
      <c r="I21" s="84">
        <v>0</v>
      </c>
      <c r="J21" s="84">
        <v>0</v>
      </c>
      <c r="K21" s="88">
        <f t="shared" si="3"/>
        <v>0</v>
      </c>
      <c r="L21" s="236" t="s">
        <v>14</v>
      </c>
      <c r="O21" s="269"/>
      <c r="P21" s="265"/>
      <c r="Q21" s="264"/>
      <c r="R21" s="265"/>
      <c r="S21" s="264"/>
      <c r="T21" s="265"/>
      <c r="U21" s="265"/>
      <c r="V21" s="264"/>
      <c r="W21" s="265"/>
    </row>
    <row r="22" spans="1:23" ht="22.5" x14ac:dyDescent="0.25">
      <c r="A22" s="216">
        <v>15</v>
      </c>
      <c r="B22" s="97">
        <v>2018</v>
      </c>
      <c r="C22" s="92" t="s">
        <v>61</v>
      </c>
      <c r="D22" s="83">
        <f t="shared" si="0"/>
        <v>487969.02</v>
      </c>
      <c r="E22" s="84">
        <v>243984.51</v>
      </c>
      <c r="F22" s="88">
        <f t="shared" si="1"/>
        <v>0.5</v>
      </c>
      <c r="G22" s="86">
        <v>243984.51</v>
      </c>
      <c r="H22" s="105">
        <f t="shared" si="2"/>
        <v>0.5</v>
      </c>
      <c r="I22" s="84">
        <v>0</v>
      </c>
      <c r="J22" s="84">
        <v>0</v>
      </c>
      <c r="K22" s="88">
        <f t="shared" si="3"/>
        <v>0</v>
      </c>
      <c r="L22" s="236" t="s">
        <v>14</v>
      </c>
      <c r="N22" s="46"/>
      <c r="O22" s="269"/>
      <c r="P22" s="265"/>
      <c r="Q22" s="264"/>
      <c r="R22" s="265"/>
      <c r="S22" s="264"/>
      <c r="T22" s="265"/>
      <c r="U22" s="265"/>
      <c r="V22" s="264"/>
      <c r="W22" s="265"/>
    </row>
    <row r="23" spans="1:23" ht="22.5" x14ac:dyDescent="0.25">
      <c r="A23" s="215">
        <v>16</v>
      </c>
      <c r="B23" s="97">
        <v>2018</v>
      </c>
      <c r="C23" s="92" t="s">
        <v>62</v>
      </c>
      <c r="D23" s="83">
        <f t="shared" si="0"/>
        <v>611970.55000000005</v>
      </c>
      <c r="E23" s="84">
        <v>305985.28000000003</v>
      </c>
      <c r="F23" s="88">
        <f t="shared" si="1"/>
        <v>0.5</v>
      </c>
      <c r="G23" s="86">
        <v>305985.27</v>
      </c>
      <c r="H23" s="105">
        <f t="shared" si="2"/>
        <v>0.5</v>
      </c>
      <c r="I23" s="84">
        <v>0</v>
      </c>
      <c r="J23" s="84">
        <v>0</v>
      </c>
      <c r="K23" s="88">
        <f t="shared" si="3"/>
        <v>0</v>
      </c>
      <c r="L23" s="236" t="s">
        <v>14</v>
      </c>
      <c r="O23" s="269"/>
      <c r="P23" s="265"/>
      <c r="Q23" s="264"/>
      <c r="R23" s="265"/>
      <c r="S23" s="264"/>
      <c r="T23" s="265"/>
      <c r="U23" s="265"/>
      <c r="V23" s="264"/>
      <c r="W23" s="265"/>
    </row>
    <row r="24" spans="1:23" ht="33.75" x14ac:dyDescent="0.25">
      <c r="A24" s="215">
        <v>17</v>
      </c>
      <c r="B24" s="97">
        <v>2018</v>
      </c>
      <c r="C24" s="92" t="s">
        <v>63</v>
      </c>
      <c r="D24" s="83">
        <f t="shared" si="0"/>
        <v>36285</v>
      </c>
      <c r="E24" s="84">
        <v>18142.5</v>
      </c>
      <c r="F24" s="88">
        <f t="shared" si="1"/>
        <v>0.5</v>
      </c>
      <c r="G24" s="86">
        <v>18142.5</v>
      </c>
      <c r="H24" s="105">
        <f t="shared" si="2"/>
        <v>0.5</v>
      </c>
      <c r="I24" s="84">
        <v>0</v>
      </c>
      <c r="J24" s="84">
        <v>0</v>
      </c>
      <c r="K24" s="88">
        <f t="shared" si="3"/>
        <v>0</v>
      </c>
      <c r="L24" s="236" t="s">
        <v>14</v>
      </c>
      <c r="O24" s="269"/>
      <c r="P24" s="265"/>
      <c r="Q24" s="264"/>
      <c r="R24" s="265"/>
      <c r="S24" s="264"/>
      <c r="T24" s="265"/>
      <c r="U24" s="265"/>
      <c r="V24" s="264"/>
      <c r="W24" s="265"/>
    </row>
    <row r="25" spans="1:23" ht="45" x14ac:dyDescent="0.25">
      <c r="A25" s="216">
        <v>18</v>
      </c>
      <c r="B25" s="97">
        <v>2018</v>
      </c>
      <c r="C25" s="92" t="s">
        <v>470</v>
      </c>
      <c r="D25" s="83">
        <f>E25+G25+I25+J25</f>
        <v>20418</v>
      </c>
      <c r="E25" s="84">
        <v>10209</v>
      </c>
      <c r="F25" s="88">
        <f t="shared" ref="F25" si="4">E25/D25</f>
        <v>0.5</v>
      </c>
      <c r="G25" s="86">
        <v>10209</v>
      </c>
      <c r="H25" s="105">
        <f t="shared" ref="H25" si="5">G25/D25</f>
        <v>0.5</v>
      </c>
      <c r="I25" s="84">
        <v>0</v>
      </c>
      <c r="J25" s="84">
        <v>0</v>
      </c>
      <c r="K25" s="88">
        <f t="shared" ref="K25" si="6">(I25+J25)/D25</f>
        <v>0</v>
      </c>
      <c r="L25" s="236" t="s">
        <v>14</v>
      </c>
      <c r="M25" s="76"/>
      <c r="O25" s="269"/>
      <c r="P25" s="265"/>
      <c r="Q25" s="264"/>
      <c r="R25" s="265"/>
      <c r="S25" s="264"/>
      <c r="T25" s="265"/>
      <c r="U25" s="265"/>
      <c r="V25" s="264"/>
      <c r="W25" s="265"/>
    </row>
    <row r="26" spans="1:23" ht="33.75" x14ac:dyDescent="0.25">
      <c r="A26" s="215">
        <v>19</v>
      </c>
      <c r="B26" s="97" t="s">
        <v>463</v>
      </c>
      <c r="C26" s="92" t="s">
        <v>240</v>
      </c>
      <c r="D26" s="83">
        <f t="shared" si="0"/>
        <v>15867</v>
      </c>
      <c r="E26" s="84">
        <v>7933.5</v>
      </c>
      <c r="F26" s="88">
        <f t="shared" si="1"/>
        <v>0.5</v>
      </c>
      <c r="G26" s="86">
        <v>7933.5</v>
      </c>
      <c r="H26" s="105">
        <f t="shared" si="2"/>
        <v>0.5</v>
      </c>
      <c r="I26" s="84">
        <v>0</v>
      </c>
      <c r="J26" s="84">
        <v>0</v>
      </c>
      <c r="K26" s="88">
        <f t="shared" si="3"/>
        <v>0</v>
      </c>
      <c r="L26" s="235" t="s">
        <v>14</v>
      </c>
      <c r="O26" s="260"/>
      <c r="P26" s="260"/>
      <c r="Q26" s="262"/>
      <c r="R26" s="265"/>
      <c r="S26" s="264"/>
      <c r="T26" s="260"/>
      <c r="U26" s="260"/>
      <c r="V26" s="262"/>
      <c r="W26" s="260"/>
    </row>
    <row r="27" spans="1:23" ht="22.5" x14ac:dyDescent="0.25">
      <c r="A27" s="215">
        <v>20</v>
      </c>
      <c r="B27" s="97" t="s">
        <v>463</v>
      </c>
      <c r="C27" s="92" t="s">
        <v>51</v>
      </c>
      <c r="D27" s="83">
        <f t="shared" si="0"/>
        <v>1748038.93</v>
      </c>
      <c r="E27" s="84">
        <v>439783.05</v>
      </c>
      <c r="F27" s="88">
        <f t="shared" si="1"/>
        <v>0.25</v>
      </c>
      <c r="G27" s="86">
        <v>439783.04</v>
      </c>
      <c r="H27" s="105">
        <f t="shared" si="2"/>
        <v>0.25</v>
      </c>
      <c r="I27" s="84">
        <v>868472.84</v>
      </c>
      <c r="J27" s="84">
        <v>0</v>
      </c>
      <c r="K27" s="88">
        <f t="shared" si="3"/>
        <v>0.5</v>
      </c>
      <c r="L27" s="235" t="s">
        <v>14</v>
      </c>
      <c r="O27" s="260"/>
      <c r="P27" s="260"/>
      <c r="Q27" s="262"/>
      <c r="R27" s="265"/>
      <c r="S27" s="264"/>
      <c r="T27" s="260"/>
      <c r="U27" s="260"/>
      <c r="V27" s="262"/>
      <c r="W27" s="260"/>
    </row>
    <row r="28" spans="1:23" ht="33.75" x14ac:dyDescent="0.25">
      <c r="A28" s="216">
        <v>21</v>
      </c>
      <c r="B28" s="97">
        <v>2020</v>
      </c>
      <c r="C28" s="92" t="s">
        <v>241</v>
      </c>
      <c r="D28" s="83">
        <f t="shared" si="0"/>
        <v>13948.2</v>
      </c>
      <c r="E28" s="84">
        <v>6974.1</v>
      </c>
      <c r="F28" s="88">
        <f t="shared" si="1"/>
        <v>0.5</v>
      </c>
      <c r="G28" s="86">
        <v>6974.1</v>
      </c>
      <c r="H28" s="105">
        <f t="shared" si="2"/>
        <v>0.5</v>
      </c>
      <c r="I28" s="84">
        <v>0</v>
      </c>
      <c r="J28" s="84">
        <v>0</v>
      </c>
      <c r="K28" s="88">
        <f t="shared" si="3"/>
        <v>0</v>
      </c>
      <c r="L28" s="235" t="s">
        <v>14</v>
      </c>
      <c r="O28" s="260"/>
      <c r="P28" s="260"/>
      <c r="Q28" s="262"/>
      <c r="R28" s="265"/>
      <c r="S28" s="264"/>
      <c r="T28" s="260"/>
      <c r="U28" s="260"/>
      <c r="V28" s="262"/>
      <c r="W28" s="260"/>
    </row>
    <row r="29" spans="1:23" ht="33.75" x14ac:dyDescent="0.25">
      <c r="A29" s="215">
        <v>22</v>
      </c>
      <c r="B29" s="286" t="s">
        <v>461</v>
      </c>
      <c r="C29" s="92" t="s">
        <v>242</v>
      </c>
      <c r="D29" s="161">
        <f t="shared" si="0"/>
        <v>28659</v>
      </c>
      <c r="E29" s="84">
        <f>8794.5+5535</f>
        <v>14329.5</v>
      </c>
      <c r="F29" s="88">
        <f t="shared" si="1"/>
        <v>0.5</v>
      </c>
      <c r="G29" s="86">
        <v>14329.5</v>
      </c>
      <c r="H29" s="105">
        <f t="shared" si="2"/>
        <v>0.5</v>
      </c>
      <c r="I29" s="84">
        <v>0</v>
      </c>
      <c r="J29" s="84">
        <v>0</v>
      </c>
      <c r="K29" s="88">
        <f t="shared" si="3"/>
        <v>0</v>
      </c>
      <c r="L29" s="235" t="s">
        <v>14</v>
      </c>
      <c r="O29" s="266"/>
      <c r="P29" s="266"/>
      <c r="Q29" s="267"/>
      <c r="R29" s="265"/>
      <c r="S29" s="264"/>
      <c r="T29" s="260"/>
      <c r="U29" s="269"/>
      <c r="V29" s="270"/>
      <c r="W29" s="269"/>
    </row>
    <row r="30" spans="1:23" ht="33.75" x14ac:dyDescent="0.25">
      <c r="A30" s="215">
        <v>23</v>
      </c>
      <c r="B30" s="97">
        <v>2021</v>
      </c>
      <c r="C30" s="92" t="s">
        <v>243</v>
      </c>
      <c r="D30" s="83">
        <f t="shared" si="0"/>
        <v>245386.03</v>
      </c>
      <c r="E30" s="84">
        <v>122693.02</v>
      </c>
      <c r="F30" s="88">
        <f t="shared" si="1"/>
        <v>0.5</v>
      </c>
      <c r="G30" s="86">
        <v>122693.01</v>
      </c>
      <c r="H30" s="105">
        <f t="shared" si="2"/>
        <v>0.5</v>
      </c>
      <c r="I30" s="84">
        <v>0</v>
      </c>
      <c r="J30" s="84">
        <v>0</v>
      </c>
      <c r="K30" s="88">
        <f t="shared" si="3"/>
        <v>0</v>
      </c>
      <c r="L30" s="236" t="s">
        <v>14</v>
      </c>
      <c r="O30" s="266"/>
      <c r="P30" s="260"/>
      <c r="Q30" s="262"/>
      <c r="R30" s="265"/>
      <c r="S30" s="264"/>
      <c r="T30" s="260"/>
      <c r="U30" s="265"/>
      <c r="V30" s="264"/>
      <c r="W30" s="265"/>
    </row>
    <row r="31" spans="1:23" ht="22.5" x14ac:dyDescent="0.25">
      <c r="A31" s="216">
        <v>24</v>
      </c>
      <c r="B31" s="97">
        <v>2021</v>
      </c>
      <c r="C31" s="92" t="s">
        <v>244</v>
      </c>
      <c r="D31" s="83">
        <f t="shared" si="0"/>
        <v>1037722.24</v>
      </c>
      <c r="E31" s="84">
        <f>263800.7+1470</f>
        <v>265270.7</v>
      </c>
      <c r="F31" s="88">
        <f t="shared" si="1"/>
        <v>0.26</v>
      </c>
      <c r="G31" s="86">
        <v>265270.7</v>
      </c>
      <c r="H31" s="105">
        <f t="shared" si="2"/>
        <v>0.26</v>
      </c>
      <c r="I31" s="84">
        <v>507180.84</v>
      </c>
      <c r="J31" s="84">
        <v>0</v>
      </c>
      <c r="K31" s="88">
        <f t="shared" si="3"/>
        <v>0.49</v>
      </c>
      <c r="L31" s="236" t="s">
        <v>14</v>
      </c>
      <c r="O31" s="266"/>
      <c r="P31" s="260"/>
      <c r="Q31" s="262"/>
      <c r="R31" s="265"/>
      <c r="S31" s="264"/>
      <c r="T31" s="260"/>
      <c r="U31" s="265"/>
      <c r="V31" s="264"/>
      <c r="W31" s="265"/>
    </row>
    <row r="32" spans="1:23" ht="33.75" x14ac:dyDescent="0.25">
      <c r="A32" s="215">
        <v>25</v>
      </c>
      <c r="B32" s="97">
        <v>2021</v>
      </c>
      <c r="C32" s="92" t="s">
        <v>245</v>
      </c>
      <c r="D32" s="83">
        <f t="shared" si="0"/>
        <v>179580</v>
      </c>
      <c r="E32" s="84">
        <v>89790</v>
      </c>
      <c r="F32" s="88">
        <f t="shared" si="1"/>
        <v>0.5</v>
      </c>
      <c r="G32" s="86">
        <v>89790</v>
      </c>
      <c r="H32" s="105">
        <f t="shared" si="2"/>
        <v>0.5</v>
      </c>
      <c r="I32" s="84">
        <v>0</v>
      </c>
      <c r="J32" s="84">
        <v>0</v>
      </c>
      <c r="K32" s="88">
        <f t="shared" si="3"/>
        <v>0</v>
      </c>
      <c r="L32" s="236" t="s">
        <v>14</v>
      </c>
      <c r="O32" s="266"/>
      <c r="P32" s="260"/>
      <c r="Q32" s="262"/>
      <c r="R32" s="265"/>
      <c r="S32" s="264"/>
      <c r="T32" s="260"/>
      <c r="U32" s="265"/>
      <c r="V32" s="264"/>
      <c r="W32" s="265"/>
    </row>
    <row r="33" spans="1:23" ht="33.75" x14ac:dyDescent="0.25">
      <c r="A33" s="215">
        <v>26</v>
      </c>
      <c r="B33" s="97" t="s">
        <v>465</v>
      </c>
      <c r="C33" s="92" t="s">
        <v>246</v>
      </c>
      <c r="D33" s="83">
        <f t="shared" si="0"/>
        <v>86571.09</v>
      </c>
      <c r="E33" s="84">
        <f>32215.55+11070</f>
        <v>43285.55</v>
      </c>
      <c r="F33" s="88">
        <f t="shared" si="1"/>
        <v>0.5</v>
      </c>
      <c r="G33" s="86">
        <v>43285.54</v>
      </c>
      <c r="H33" s="105">
        <f t="shared" si="2"/>
        <v>0.5</v>
      </c>
      <c r="I33" s="84">
        <v>0</v>
      </c>
      <c r="J33" s="84">
        <v>0</v>
      </c>
      <c r="K33" s="88">
        <f t="shared" si="3"/>
        <v>0</v>
      </c>
      <c r="L33" s="236" t="s">
        <v>14</v>
      </c>
      <c r="O33" s="266"/>
      <c r="P33" s="260"/>
      <c r="Q33" s="262"/>
      <c r="R33" s="265"/>
      <c r="S33" s="264"/>
      <c r="T33" s="260"/>
      <c r="U33" s="265"/>
      <c r="V33" s="264"/>
      <c r="W33" s="265"/>
    </row>
    <row r="34" spans="1:23" ht="34.5" customHeight="1" x14ac:dyDescent="0.25">
      <c r="A34" s="216">
        <v>27</v>
      </c>
      <c r="B34" s="97">
        <v>2021</v>
      </c>
      <c r="C34" s="92" t="s">
        <v>406</v>
      </c>
      <c r="D34" s="83">
        <f t="shared" ref="D34" si="7">E34+G34+I34+J34</f>
        <v>49077</v>
      </c>
      <c r="E34" s="84">
        <f>14206.5+10332</f>
        <v>24538.5</v>
      </c>
      <c r="F34" s="88">
        <f t="shared" ref="F34" si="8">E34/D34</f>
        <v>0.5</v>
      </c>
      <c r="G34" s="86">
        <v>24538.5</v>
      </c>
      <c r="H34" s="105">
        <f t="shared" ref="H34" si="9">G34/D34</f>
        <v>0.5</v>
      </c>
      <c r="I34" s="84">
        <v>0</v>
      </c>
      <c r="J34" s="84">
        <v>0</v>
      </c>
      <c r="K34" s="88">
        <f t="shared" ref="K34" si="10">(I34+J34)/D34</f>
        <v>0</v>
      </c>
      <c r="L34" s="236" t="s">
        <v>14</v>
      </c>
      <c r="O34" s="266"/>
      <c r="P34" s="260"/>
      <c r="Q34" s="262"/>
      <c r="R34" s="265"/>
      <c r="S34" s="264"/>
      <c r="T34" s="260"/>
      <c r="U34" s="265"/>
      <c r="V34" s="264"/>
      <c r="W34" s="265"/>
    </row>
    <row r="35" spans="1:23" ht="34.5" customHeight="1" x14ac:dyDescent="0.25">
      <c r="A35" s="215">
        <v>28</v>
      </c>
      <c r="B35" s="286" t="s">
        <v>465</v>
      </c>
      <c r="C35" s="92" t="s">
        <v>407</v>
      </c>
      <c r="D35" s="161">
        <f t="shared" ref="D35" si="11">E35+G35+I35+J35</f>
        <v>41205</v>
      </c>
      <c r="E35" s="84">
        <f>8302.5+12300</f>
        <v>20602.5</v>
      </c>
      <c r="F35" s="88">
        <f t="shared" ref="F35" si="12">E35/D35</f>
        <v>0.5</v>
      </c>
      <c r="G35" s="86">
        <v>20602.5</v>
      </c>
      <c r="H35" s="105">
        <f t="shared" ref="H35" si="13">G35/D35</f>
        <v>0.5</v>
      </c>
      <c r="I35" s="84">
        <v>0</v>
      </c>
      <c r="J35" s="84">
        <v>0</v>
      </c>
      <c r="K35" s="88">
        <f t="shared" ref="K35" si="14">(I35+J35)/D35</f>
        <v>0</v>
      </c>
      <c r="L35" s="236" t="s">
        <v>14</v>
      </c>
      <c r="O35" s="266"/>
      <c r="P35" s="260"/>
      <c r="Q35" s="262"/>
      <c r="R35" s="265"/>
      <c r="S35" s="264"/>
      <c r="T35" s="260"/>
      <c r="U35" s="265"/>
      <c r="V35" s="264"/>
      <c r="W35" s="265"/>
    </row>
    <row r="36" spans="1:23" ht="22.5" x14ac:dyDescent="0.25">
      <c r="A36" s="215">
        <v>29</v>
      </c>
      <c r="B36" s="97">
        <v>2022</v>
      </c>
      <c r="C36" s="92" t="s">
        <v>247</v>
      </c>
      <c r="D36" s="83">
        <f t="shared" si="0"/>
        <v>4160494.2</v>
      </c>
      <c r="E36" s="84">
        <v>1155202.07</v>
      </c>
      <c r="F36" s="88">
        <f t="shared" si="1"/>
        <v>0.28000000000000003</v>
      </c>
      <c r="G36" s="86">
        <v>1154697.8999999999</v>
      </c>
      <c r="H36" s="105">
        <f t="shared" si="2"/>
        <v>0.28000000000000003</v>
      </c>
      <c r="I36" s="84">
        <v>1850594.23</v>
      </c>
      <c r="J36" s="84">
        <v>0</v>
      </c>
      <c r="K36" s="88">
        <f t="shared" si="3"/>
        <v>0.44</v>
      </c>
      <c r="L36" s="236" t="s">
        <v>14</v>
      </c>
      <c r="M36" s="115"/>
      <c r="O36" s="266"/>
      <c r="P36" s="260"/>
      <c r="Q36" s="262"/>
      <c r="R36" s="265"/>
      <c r="S36" s="264"/>
      <c r="T36" s="260"/>
      <c r="U36" s="265"/>
      <c r="V36" s="264"/>
      <c r="W36" s="265"/>
    </row>
    <row r="37" spans="1:23" ht="22.5" x14ac:dyDescent="0.25">
      <c r="A37" s="216">
        <v>30</v>
      </c>
      <c r="B37" s="97">
        <v>2022</v>
      </c>
      <c r="C37" s="92" t="s">
        <v>248</v>
      </c>
      <c r="D37" s="83">
        <f t="shared" si="0"/>
        <v>2450236.2000000002</v>
      </c>
      <c r="E37" s="84">
        <v>725118.1</v>
      </c>
      <c r="F37" s="88">
        <f t="shared" si="1"/>
        <v>0.3</v>
      </c>
      <c r="G37" s="86">
        <v>725118.1</v>
      </c>
      <c r="H37" s="105">
        <f t="shared" si="2"/>
        <v>0.3</v>
      </c>
      <c r="I37" s="84">
        <v>1000000</v>
      </c>
      <c r="J37" s="84">
        <v>0</v>
      </c>
      <c r="K37" s="88">
        <f t="shared" si="3"/>
        <v>0.41</v>
      </c>
      <c r="L37" s="236" t="s">
        <v>14</v>
      </c>
      <c r="O37" s="266"/>
      <c r="P37" s="260"/>
      <c r="Q37" s="262"/>
      <c r="R37" s="265"/>
      <c r="S37" s="264"/>
      <c r="T37" s="260"/>
      <c r="U37" s="265"/>
      <c r="V37" s="264"/>
      <c r="W37" s="265"/>
    </row>
    <row r="38" spans="1:23" ht="33.75" x14ac:dyDescent="0.25">
      <c r="A38" s="215">
        <v>31</v>
      </c>
      <c r="B38" s="97" t="s">
        <v>515</v>
      </c>
      <c r="C38" s="145" t="s">
        <v>249</v>
      </c>
      <c r="D38" s="83">
        <f t="shared" si="0"/>
        <v>116647.05</v>
      </c>
      <c r="E38" s="86">
        <f>18450+39873.53</f>
        <v>58323.53</v>
      </c>
      <c r="F38" s="88">
        <f t="shared" si="1"/>
        <v>0.5</v>
      </c>
      <c r="G38" s="86">
        <f>18450+39873.52</f>
        <v>58323.519999999997</v>
      </c>
      <c r="H38" s="105">
        <f t="shared" si="2"/>
        <v>0.5</v>
      </c>
      <c r="I38" s="84">
        <v>0</v>
      </c>
      <c r="J38" s="84">
        <v>0</v>
      </c>
      <c r="K38" s="88">
        <f t="shared" si="3"/>
        <v>0</v>
      </c>
      <c r="L38" s="236" t="s">
        <v>14</v>
      </c>
      <c r="O38" s="260"/>
      <c r="P38" s="260"/>
      <c r="Q38" s="262"/>
      <c r="R38" s="265"/>
      <c r="S38" s="264"/>
      <c r="T38" s="260"/>
      <c r="U38" s="260"/>
      <c r="V38" s="262"/>
      <c r="W38" s="260"/>
    </row>
    <row r="39" spans="1:23" ht="33.75" x14ac:dyDescent="0.25">
      <c r="A39" s="215">
        <v>32</v>
      </c>
      <c r="B39" s="97">
        <v>2022</v>
      </c>
      <c r="C39" s="92" t="s">
        <v>250</v>
      </c>
      <c r="D39" s="83">
        <f t="shared" si="0"/>
        <v>28782</v>
      </c>
      <c r="E39" s="84">
        <v>14391</v>
      </c>
      <c r="F39" s="88">
        <f t="shared" si="1"/>
        <v>0.5</v>
      </c>
      <c r="G39" s="86">
        <v>14391</v>
      </c>
      <c r="H39" s="105">
        <f t="shared" si="2"/>
        <v>0.5</v>
      </c>
      <c r="I39" s="84">
        <v>0</v>
      </c>
      <c r="J39" s="84">
        <v>0</v>
      </c>
      <c r="K39" s="88">
        <f t="shared" si="3"/>
        <v>0</v>
      </c>
      <c r="L39" s="236" t="s">
        <v>14</v>
      </c>
      <c r="O39" s="260"/>
      <c r="P39" s="260"/>
      <c r="Q39" s="262"/>
      <c r="R39" s="265"/>
      <c r="S39" s="264"/>
      <c r="T39" s="260"/>
      <c r="U39" s="260"/>
      <c r="V39" s="262"/>
      <c r="W39" s="260"/>
    </row>
    <row r="40" spans="1:23" ht="33.75" x14ac:dyDescent="0.25">
      <c r="A40" s="216">
        <v>33</v>
      </c>
      <c r="B40" s="97" t="s">
        <v>475</v>
      </c>
      <c r="C40" s="145" t="s">
        <v>251</v>
      </c>
      <c r="D40" s="83">
        <f t="shared" si="0"/>
        <v>210330</v>
      </c>
      <c r="E40" s="86">
        <f>95325+9840</f>
        <v>105165</v>
      </c>
      <c r="F40" s="88">
        <f t="shared" si="1"/>
        <v>0.5</v>
      </c>
      <c r="G40" s="86">
        <f>95325+9840</f>
        <v>105165</v>
      </c>
      <c r="H40" s="105">
        <f t="shared" si="2"/>
        <v>0.5</v>
      </c>
      <c r="I40" s="84">
        <v>0</v>
      </c>
      <c r="J40" s="84">
        <v>0</v>
      </c>
      <c r="K40" s="88">
        <f t="shared" si="3"/>
        <v>0</v>
      </c>
      <c r="L40" s="236" t="s">
        <v>14</v>
      </c>
      <c r="M40" s="115"/>
      <c r="O40" s="260"/>
      <c r="P40" s="260"/>
      <c r="Q40" s="262"/>
      <c r="R40" s="265"/>
      <c r="S40" s="264"/>
      <c r="T40" s="260"/>
      <c r="U40" s="260"/>
      <c r="V40" s="262"/>
      <c r="W40" s="260"/>
    </row>
    <row r="41" spans="1:23" ht="33.75" x14ac:dyDescent="0.25">
      <c r="A41" s="215">
        <v>34</v>
      </c>
      <c r="B41" s="119">
        <v>2022</v>
      </c>
      <c r="C41" s="28" t="s">
        <v>252</v>
      </c>
      <c r="D41" s="83">
        <f t="shared" si="0"/>
        <v>124783.5</v>
      </c>
      <c r="E41" s="84">
        <v>19095.75</v>
      </c>
      <c r="F41" s="88">
        <f t="shared" si="1"/>
        <v>0.15</v>
      </c>
      <c r="G41" s="86">
        <v>19095.75</v>
      </c>
      <c r="H41" s="105">
        <f t="shared" si="2"/>
        <v>0.15</v>
      </c>
      <c r="I41" s="84">
        <v>86592</v>
      </c>
      <c r="J41" s="84"/>
      <c r="K41" s="88">
        <f t="shared" si="3"/>
        <v>0.69</v>
      </c>
      <c r="L41" s="236" t="s">
        <v>14</v>
      </c>
      <c r="O41" s="266"/>
      <c r="P41" s="266"/>
      <c r="Q41" s="267"/>
      <c r="R41" s="265"/>
      <c r="S41" s="264"/>
      <c r="T41" s="260"/>
      <c r="U41" s="269"/>
      <c r="V41" s="270"/>
      <c r="W41" s="269"/>
    </row>
    <row r="42" spans="1:23" ht="33.75" x14ac:dyDescent="0.25">
      <c r="A42" s="215">
        <v>35</v>
      </c>
      <c r="B42" s="119">
        <v>2022</v>
      </c>
      <c r="C42" s="28" t="s">
        <v>253</v>
      </c>
      <c r="D42" s="83">
        <f t="shared" si="0"/>
        <v>198153</v>
      </c>
      <c r="E42" s="84">
        <v>20602.5</v>
      </c>
      <c r="F42" s="88">
        <f t="shared" si="1"/>
        <v>0.1</v>
      </c>
      <c r="G42" s="86">
        <v>20602.5</v>
      </c>
      <c r="H42" s="105">
        <f t="shared" si="2"/>
        <v>0.1</v>
      </c>
      <c r="I42" s="84">
        <v>156948</v>
      </c>
      <c r="J42" s="84"/>
      <c r="K42" s="88">
        <f t="shared" si="3"/>
        <v>0.79</v>
      </c>
      <c r="L42" s="236" t="s">
        <v>14</v>
      </c>
      <c r="O42" s="266"/>
      <c r="P42" s="260"/>
      <c r="Q42" s="262"/>
      <c r="R42" s="265"/>
      <c r="S42" s="264"/>
      <c r="T42" s="260"/>
      <c r="U42" s="265"/>
      <c r="V42" s="264"/>
      <c r="W42" s="265"/>
    </row>
    <row r="43" spans="1:23" ht="56.25" x14ac:dyDescent="0.25">
      <c r="A43" s="216">
        <v>36</v>
      </c>
      <c r="B43" s="119">
        <v>2022</v>
      </c>
      <c r="C43" s="28" t="s">
        <v>254</v>
      </c>
      <c r="D43" s="83">
        <f t="shared" si="0"/>
        <v>124783.5</v>
      </c>
      <c r="E43" s="84">
        <v>19095.75</v>
      </c>
      <c r="F43" s="88">
        <f t="shared" si="1"/>
        <v>0.15</v>
      </c>
      <c r="G43" s="86">
        <v>19095.75</v>
      </c>
      <c r="H43" s="105">
        <f t="shared" si="2"/>
        <v>0.15</v>
      </c>
      <c r="I43" s="84">
        <v>86592</v>
      </c>
      <c r="J43" s="84"/>
      <c r="K43" s="88">
        <f t="shared" si="3"/>
        <v>0.69</v>
      </c>
      <c r="L43" s="236" t="s">
        <v>14</v>
      </c>
      <c r="O43" s="269"/>
      <c r="P43" s="265"/>
      <c r="Q43" s="264"/>
      <c r="R43" s="265"/>
      <c r="S43" s="264"/>
      <c r="T43" s="265"/>
      <c r="U43" s="265"/>
      <c r="V43" s="264"/>
      <c r="W43" s="265"/>
    </row>
    <row r="44" spans="1:23" ht="22.5" x14ac:dyDescent="0.25">
      <c r="A44" s="215">
        <v>37</v>
      </c>
      <c r="B44" s="81" t="s">
        <v>475</v>
      </c>
      <c r="C44" s="155" t="s">
        <v>256</v>
      </c>
      <c r="D44" s="83">
        <f t="shared" si="0"/>
        <v>4185063.02</v>
      </c>
      <c r="E44" s="84">
        <f>783469.96+566561.55</f>
        <v>1350031.51</v>
      </c>
      <c r="F44" s="88">
        <f t="shared" si="1"/>
        <v>0.32</v>
      </c>
      <c r="G44" s="86">
        <f>783469.95+566561.56</f>
        <v>1350031.51</v>
      </c>
      <c r="H44" s="105">
        <f t="shared" si="2"/>
        <v>0.32</v>
      </c>
      <c r="I44" s="84">
        <f>735000+750000</f>
        <v>1485000</v>
      </c>
      <c r="J44" s="84">
        <v>0</v>
      </c>
      <c r="K44" s="88">
        <f t="shared" si="3"/>
        <v>0.35</v>
      </c>
      <c r="L44" s="81" t="s">
        <v>14</v>
      </c>
      <c r="M44" s="115"/>
      <c r="O44" s="256"/>
      <c r="P44" s="256"/>
      <c r="Q44" s="257"/>
      <c r="R44" s="256"/>
      <c r="S44" s="257"/>
      <c r="T44" s="256"/>
      <c r="U44" s="256"/>
      <c r="V44" s="257"/>
      <c r="W44" s="283"/>
    </row>
    <row r="45" spans="1:23" ht="22.5" x14ac:dyDescent="0.25">
      <c r="A45" s="215">
        <v>38</v>
      </c>
      <c r="B45" s="81" t="s">
        <v>518</v>
      </c>
      <c r="C45" s="89" t="s">
        <v>257</v>
      </c>
      <c r="D45" s="83">
        <f t="shared" si="0"/>
        <v>1027062.42</v>
      </c>
      <c r="E45" s="84">
        <v>375970.49</v>
      </c>
      <c r="F45" s="88">
        <f t="shared" si="1"/>
        <v>0.37</v>
      </c>
      <c r="G45" s="86">
        <v>376831.49</v>
      </c>
      <c r="H45" s="105">
        <f t="shared" si="2"/>
        <v>0.37</v>
      </c>
      <c r="I45" s="84">
        <v>274260.44</v>
      </c>
      <c r="J45" s="84">
        <v>0</v>
      </c>
      <c r="K45" s="88">
        <f t="shared" si="3"/>
        <v>0.27</v>
      </c>
      <c r="L45" s="81" t="s">
        <v>14</v>
      </c>
      <c r="O45" s="256"/>
      <c r="P45" s="256"/>
      <c r="Q45" s="257"/>
      <c r="R45" s="256"/>
      <c r="S45" s="257"/>
      <c r="T45" s="256"/>
      <c r="U45" s="256"/>
      <c r="V45" s="257"/>
      <c r="W45" s="283"/>
    </row>
    <row r="46" spans="1:23" ht="23.25" x14ac:dyDescent="0.25">
      <c r="A46" s="216">
        <v>39</v>
      </c>
      <c r="B46" s="77" t="s">
        <v>515</v>
      </c>
      <c r="C46" s="149" t="s">
        <v>259</v>
      </c>
      <c r="D46" s="83">
        <f t="shared" ref="D46" si="15">E46+G46+I46+J46</f>
        <v>99015</v>
      </c>
      <c r="E46" s="113">
        <v>49507.5</v>
      </c>
      <c r="F46" s="88">
        <f t="shared" ref="F46" si="16">E46/D46</f>
        <v>0.5</v>
      </c>
      <c r="G46" s="113">
        <v>49507.5</v>
      </c>
      <c r="H46" s="105">
        <f t="shared" ref="H46" si="17">G46/D46</f>
        <v>0.5</v>
      </c>
      <c r="I46" s="84">
        <v>0</v>
      </c>
      <c r="J46" s="84">
        <v>0</v>
      </c>
      <c r="K46" s="88">
        <f t="shared" ref="K46" si="18">(I46+J46)/D46</f>
        <v>0</v>
      </c>
      <c r="L46" s="81" t="s">
        <v>14</v>
      </c>
      <c r="O46" s="72"/>
      <c r="P46" s="72"/>
      <c r="Q46" s="72"/>
      <c r="R46" s="72"/>
      <c r="S46" s="72"/>
      <c r="T46" s="72"/>
      <c r="U46" s="72"/>
      <c r="V46" s="272"/>
      <c r="W46" s="281"/>
    </row>
    <row r="47" spans="1:23" ht="45.75" x14ac:dyDescent="0.25">
      <c r="A47" s="215">
        <v>40</v>
      </c>
      <c r="B47" s="77" t="s">
        <v>502</v>
      </c>
      <c r="C47" s="157" t="s">
        <v>414</v>
      </c>
      <c r="D47" s="83">
        <f t="shared" ref="D47:D50" si="19">E47+G47+I47+J47</f>
        <v>6391965.1900000004</v>
      </c>
      <c r="E47" s="84">
        <v>1566630.06</v>
      </c>
      <c r="F47" s="88">
        <f t="shared" ref="F47:F50" si="20">E47/D47</f>
        <v>0.25</v>
      </c>
      <c r="G47" s="86">
        <v>1566630.05</v>
      </c>
      <c r="H47" s="105">
        <f t="shared" ref="H47:H50" si="21">G47/D47</f>
        <v>0.25</v>
      </c>
      <c r="I47" s="84">
        <f>1646337.13+1612367.95</f>
        <v>3258705.08</v>
      </c>
      <c r="J47" s="84">
        <v>0</v>
      </c>
      <c r="K47" s="88">
        <f t="shared" ref="K47:K50" si="22">(I47+J47)/D47</f>
        <v>0.51</v>
      </c>
      <c r="L47" s="81" t="s">
        <v>14</v>
      </c>
      <c r="M47" s="115"/>
    </row>
    <row r="48" spans="1:23" ht="34.5" x14ac:dyDescent="0.25">
      <c r="A48" s="215">
        <v>41</v>
      </c>
      <c r="B48" s="77" t="s">
        <v>475</v>
      </c>
      <c r="C48" s="157" t="s">
        <v>258</v>
      </c>
      <c r="D48" s="83">
        <f t="shared" si="19"/>
        <v>181425</v>
      </c>
      <c r="E48" s="84">
        <v>90712.5</v>
      </c>
      <c r="F48" s="88">
        <f t="shared" si="20"/>
        <v>0.5</v>
      </c>
      <c r="G48" s="86">
        <f>30319.5+60393</f>
        <v>90712.5</v>
      </c>
      <c r="H48" s="105">
        <f t="shared" si="21"/>
        <v>0.5</v>
      </c>
      <c r="I48" s="84">
        <v>0</v>
      </c>
      <c r="J48" s="84">
        <v>0</v>
      </c>
      <c r="K48" s="88">
        <f t="shared" si="22"/>
        <v>0</v>
      </c>
      <c r="L48" s="81" t="s">
        <v>14</v>
      </c>
    </row>
    <row r="49" spans="1:12" ht="34.5" x14ac:dyDescent="0.25">
      <c r="A49" s="216">
        <v>42</v>
      </c>
      <c r="B49" s="77" t="s">
        <v>516</v>
      </c>
      <c r="C49" s="149" t="s">
        <v>408</v>
      </c>
      <c r="D49" s="83">
        <f t="shared" si="19"/>
        <v>586115.30000000005</v>
      </c>
      <c r="E49" s="84">
        <v>117223.06</v>
      </c>
      <c r="F49" s="88">
        <f t="shared" si="20"/>
        <v>0.2</v>
      </c>
      <c r="G49" s="86">
        <v>0</v>
      </c>
      <c r="H49" s="105">
        <f t="shared" si="21"/>
        <v>0</v>
      </c>
      <c r="I49" s="84">
        <v>468892.24</v>
      </c>
      <c r="J49" s="84">
        <v>0</v>
      </c>
      <c r="K49" s="88">
        <f t="shared" si="22"/>
        <v>0.8</v>
      </c>
      <c r="L49" s="81" t="s">
        <v>14</v>
      </c>
    </row>
    <row r="50" spans="1:12" ht="34.5" x14ac:dyDescent="0.25">
      <c r="A50" s="215">
        <v>43</v>
      </c>
      <c r="B50" s="77" t="s">
        <v>516</v>
      </c>
      <c r="C50" s="149" t="s">
        <v>415</v>
      </c>
      <c r="D50" s="83">
        <f t="shared" si="19"/>
        <v>605184.6</v>
      </c>
      <c r="E50" s="84">
        <v>152839.79999999999</v>
      </c>
      <c r="F50" s="88">
        <f t="shared" si="20"/>
        <v>0.25</v>
      </c>
      <c r="G50" s="86">
        <v>0</v>
      </c>
      <c r="H50" s="105">
        <f t="shared" si="21"/>
        <v>0</v>
      </c>
      <c r="I50" s="84">
        <v>452344.8</v>
      </c>
      <c r="J50" s="84">
        <v>0</v>
      </c>
      <c r="K50" s="88">
        <f t="shared" si="22"/>
        <v>0.75</v>
      </c>
      <c r="L50" s="81" t="s">
        <v>14</v>
      </c>
    </row>
    <row r="51" spans="1:12" ht="29.25" customHeight="1" x14ac:dyDescent="0.25">
      <c r="A51" s="369" t="s">
        <v>34</v>
      </c>
      <c r="B51" s="370"/>
      <c r="C51" s="371"/>
      <c r="D51" s="224">
        <f>SUM(D8:D46)</f>
        <v>22392370.960000001</v>
      </c>
      <c r="E51" s="224">
        <f>SUM(E8:E46)</f>
        <v>8038186.9299999997</v>
      </c>
      <c r="F51" s="189">
        <f>E51/D51</f>
        <v>0.36</v>
      </c>
      <c r="G51" s="224">
        <f>SUM(G8:G46)</f>
        <v>8038543.6799999997</v>
      </c>
      <c r="H51" s="190">
        <f>G51/D51</f>
        <v>0.36</v>
      </c>
      <c r="I51" s="224">
        <f>SUM(I8:I46)</f>
        <v>6315640.3499999996</v>
      </c>
      <c r="J51" s="224">
        <f>SUM(J8:J46)</f>
        <v>0</v>
      </c>
      <c r="K51" s="189">
        <f>(I51+J51)/D51</f>
        <v>0.28000000000000003</v>
      </c>
      <c r="L51" s="225"/>
    </row>
  </sheetData>
  <mergeCells count="18">
    <mergeCell ref="D3:D6"/>
    <mergeCell ref="E3:K3"/>
    <mergeCell ref="A3:A6"/>
    <mergeCell ref="A51:C51"/>
    <mergeCell ref="A2:L2"/>
    <mergeCell ref="H5:H6"/>
    <mergeCell ref="L3:L6"/>
    <mergeCell ref="I5:I6"/>
    <mergeCell ref="J5:J6"/>
    <mergeCell ref="K5:K6"/>
    <mergeCell ref="E4:F4"/>
    <mergeCell ref="G4:H4"/>
    <mergeCell ref="I4:K4"/>
    <mergeCell ref="E5:E6"/>
    <mergeCell ref="F5:F6"/>
    <mergeCell ref="G5:G6"/>
    <mergeCell ref="B3:B6"/>
    <mergeCell ref="C3:C6"/>
  </mergeCells>
  <phoneticPr fontId="19" type="noConversion"/>
  <pageMargins left="0.7" right="0.7" top="0.75" bottom="0.75" header="0.3" footer="0.3"/>
  <ignoredErrors>
    <ignoredError sqref="F4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FF469-029C-4EEC-B44B-8B080E264FBC}">
  <dimension ref="A2:L9"/>
  <sheetViews>
    <sheetView workbookViewId="0">
      <selection activeCell="F12" sqref="F12"/>
    </sheetView>
  </sheetViews>
  <sheetFormatPr defaultRowHeight="15" x14ac:dyDescent="0.25"/>
  <cols>
    <col min="2" max="2" width="20.140625" customWidth="1"/>
    <col min="3" max="3" width="41.140625" customWidth="1"/>
    <col min="4" max="4" width="14.5703125" customWidth="1"/>
    <col min="5" max="5" width="9.7109375" bestFit="1" customWidth="1"/>
    <col min="6" max="6" width="12" customWidth="1"/>
    <col min="7" max="7" width="9.7109375" bestFit="1" customWidth="1"/>
    <col min="8" max="8" width="12.42578125" customWidth="1"/>
    <col min="9" max="9" width="14.28515625" customWidth="1"/>
    <col min="10" max="10" width="9.28515625" bestFit="1" customWidth="1"/>
    <col min="11" max="11" width="13.7109375" customWidth="1"/>
    <col min="12" max="12" width="17.5703125" customWidth="1"/>
  </cols>
  <sheetData>
    <row r="2" spans="1:12" ht="73.5" customHeight="1" x14ac:dyDescent="0.25">
      <c r="A2" s="338" t="s">
        <v>261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12" x14ac:dyDescent="0.25">
      <c r="A3" s="343" t="s">
        <v>0</v>
      </c>
      <c r="B3" s="343" t="s">
        <v>1</v>
      </c>
      <c r="C3" s="346" t="s">
        <v>2</v>
      </c>
      <c r="D3" s="346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12" ht="31.5" customHeight="1" x14ac:dyDescent="0.25">
      <c r="A4" s="344"/>
      <c r="B4" s="344"/>
      <c r="C4" s="347"/>
      <c r="D4" s="347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12" x14ac:dyDescent="0.25">
      <c r="A5" s="344"/>
      <c r="B5" s="344"/>
      <c r="C5" s="347"/>
      <c r="D5" s="347"/>
      <c r="E5" s="346" t="s">
        <v>9</v>
      </c>
      <c r="F5" s="346" t="s">
        <v>10</v>
      </c>
      <c r="G5" s="346" t="s">
        <v>9</v>
      </c>
      <c r="H5" s="346" t="s">
        <v>10</v>
      </c>
      <c r="I5" s="346" t="s">
        <v>11</v>
      </c>
      <c r="J5" s="346" t="s">
        <v>12</v>
      </c>
      <c r="K5" s="346" t="s">
        <v>10</v>
      </c>
      <c r="L5" s="347"/>
    </row>
    <row r="6" spans="1:12" x14ac:dyDescent="0.25">
      <c r="A6" s="345"/>
      <c r="B6" s="345"/>
      <c r="C6" s="348"/>
      <c r="D6" s="348"/>
      <c r="E6" s="348"/>
      <c r="F6" s="348"/>
      <c r="G6" s="348"/>
      <c r="H6" s="348"/>
      <c r="I6" s="348"/>
      <c r="J6" s="348"/>
      <c r="K6" s="348"/>
      <c r="L6" s="348"/>
    </row>
    <row r="7" spans="1:12" x14ac:dyDescent="0.25">
      <c r="A7" s="1">
        <v>1</v>
      </c>
      <c r="B7" s="1">
        <v>2</v>
      </c>
      <c r="C7" s="2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</row>
    <row r="8" spans="1:12" ht="25.5" customHeight="1" x14ac:dyDescent="0.25">
      <c r="A8" s="287">
        <v>1</v>
      </c>
      <c r="B8" s="288">
        <v>2025</v>
      </c>
      <c r="C8" s="288" t="s">
        <v>436</v>
      </c>
      <c r="D8" s="289">
        <f>E8+G8+I8</f>
        <v>754971.73</v>
      </c>
      <c r="E8" s="289">
        <v>152857.79999999999</v>
      </c>
      <c r="F8" s="290">
        <f>E8/D8</f>
        <v>0.2</v>
      </c>
      <c r="G8" s="289">
        <v>152857.79999999999</v>
      </c>
      <c r="H8" s="290">
        <f>G8/D8</f>
        <v>0.2</v>
      </c>
      <c r="I8" s="289">
        <v>449256.13</v>
      </c>
      <c r="J8" s="290">
        <v>0</v>
      </c>
      <c r="K8" s="290">
        <f>(J8+I8)/D8</f>
        <v>0.6</v>
      </c>
      <c r="L8" s="289" t="s">
        <v>14</v>
      </c>
    </row>
    <row r="9" spans="1:12" x14ac:dyDescent="0.25">
      <c r="A9" s="358" t="s">
        <v>34</v>
      </c>
      <c r="B9" s="359"/>
      <c r="C9" s="360"/>
      <c r="D9" s="44" t="s">
        <v>35</v>
      </c>
      <c r="E9" s="44" t="s">
        <v>35</v>
      </c>
      <c r="F9" s="44" t="s">
        <v>35</v>
      </c>
      <c r="G9" s="44" t="s">
        <v>35</v>
      </c>
      <c r="H9" s="44" t="s">
        <v>35</v>
      </c>
      <c r="I9" s="44" t="s">
        <v>35</v>
      </c>
      <c r="J9" s="44" t="s">
        <v>35</v>
      </c>
      <c r="K9" s="44" t="s">
        <v>35</v>
      </c>
      <c r="L9" s="44" t="s">
        <v>35</v>
      </c>
    </row>
  </sheetData>
  <mergeCells count="18">
    <mergeCell ref="A2:L2"/>
    <mergeCell ref="A3:A6"/>
    <mergeCell ref="B3:B6"/>
    <mergeCell ref="C3:C6"/>
    <mergeCell ref="D3:D6"/>
    <mergeCell ref="E3:K3"/>
    <mergeCell ref="L3:L6"/>
    <mergeCell ref="E4:F4"/>
    <mergeCell ref="G4:H4"/>
    <mergeCell ref="I4:K4"/>
    <mergeCell ref="K5:K6"/>
    <mergeCell ref="I5:I6"/>
    <mergeCell ref="J5:J6"/>
    <mergeCell ref="A9:C9"/>
    <mergeCell ref="E5:E6"/>
    <mergeCell ref="F5:F6"/>
    <mergeCell ref="G5:G6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Z34"/>
  <sheetViews>
    <sheetView view="pageBreakPreview" topLeftCell="D1" zoomScaleNormal="100" zoomScaleSheetLayoutView="100" workbookViewId="0">
      <selection activeCell="T12" sqref="T12"/>
    </sheetView>
  </sheetViews>
  <sheetFormatPr defaultRowHeight="15" x14ac:dyDescent="0.25"/>
  <cols>
    <col min="1" max="1" width="9.140625" style="214"/>
    <col min="2" max="2" width="15.85546875" style="50" customWidth="1"/>
    <col min="3" max="3" width="42.5703125" customWidth="1"/>
    <col min="4" max="4" width="14" style="54" customWidth="1"/>
    <col min="5" max="5" width="12.5703125" style="54" customWidth="1"/>
    <col min="6" max="6" width="13.28515625" customWidth="1"/>
    <col min="7" max="7" width="13.42578125" style="54" customWidth="1"/>
    <col min="8" max="8" width="13.28515625" customWidth="1"/>
    <col min="9" max="9" width="14.28515625" style="54" customWidth="1"/>
    <col min="10" max="10" width="13.42578125" style="54" customWidth="1"/>
    <col min="11" max="11" width="14.7109375" customWidth="1"/>
    <col min="12" max="12" width="16" style="50" customWidth="1"/>
    <col min="13" max="13" width="13.42578125" bestFit="1" customWidth="1"/>
    <col min="14" max="14" width="10.42578125" customWidth="1"/>
    <col min="15" max="15" width="13.7109375" bestFit="1" customWidth="1"/>
  </cols>
  <sheetData>
    <row r="2" spans="1:26" ht="64.5" customHeight="1" x14ac:dyDescent="0.25">
      <c r="A2" s="338" t="s">
        <v>260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26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26" ht="25.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26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26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26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26" ht="33.75" x14ac:dyDescent="0.25">
      <c r="A8" s="215">
        <v>1</v>
      </c>
      <c r="B8" s="285">
        <v>2015</v>
      </c>
      <c r="C8" s="97" t="s">
        <v>497</v>
      </c>
      <c r="D8" s="83">
        <v>8364</v>
      </c>
      <c r="E8" s="84">
        <f>D8</f>
        <v>8364</v>
      </c>
      <c r="F8" s="88">
        <f>E8/D8</f>
        <v>1</v>
      </c>
      <c r="G8" s="86">
        <v>0</v>
      </c>
      <c r="H8" s="105">
        <f>G8/D8</f>
        <v>0</v>
      </c>
      <c r="I8" s="84"/>
      <c r="J8" s="84">
        <v>0</v>
      </c>
      <c r="K8" s="88">
        <f>(I8+J8)/D8</f>
        <v>0</v>
      </c>
      <c r="L8" s="236" t="s">
        <v>14</v>
      </c>
    </row>
    <row r="9" spans="1:26" ht="22.5" x14ac:dyDescent="0.25">
      <c r="A9" s="215">
        <v>2</v>
      </c>
      <c r="B9" s="97">
        <v>2015</v>
      </c>
      <c r="C9" s="92" t="s">
        <v>64</v>
      </c>
      <c r="D9" s="83">
        <f>E9+G9+I9+J9</f>
        <v>68075.58</v>
      </c>
      <c r="E9" s="84">
        <v>25819.58</v>
      </c>
      <c r="F9" s="88">
        <f>E9/D9</f>
        <v>0.38</v>
      </c>
      <c r="G9" s="86">
        <v>20000</v>
      </c>
      <c r="H9" s="105">
        <f>G9/D9</f>
        <v>0.28999999999999998</v>
      </c>
      <c r="I9" s="84"/>
      <c r="J9" s="84">
        <v>22256</v>
      </c>
      <c r="K9" s="88">
        <f>(I9+J9)/D9</f>
        <v>0.33</v>
      </c>
      <c r="L9" s="236" t="s">
        <v>14</v>
      </c>
      <c r="M9" s="45"/>
      <c r="Q9" s="260"/>
      <c r="R9" s="260"/>
      <c r="S9" s="262"/>
      <c r="T9" s="265"/>
      <c r="U9" s="264"/>
      <c r="V9" s="260"/>
      <c r="W9" s="273"/>
      <c r="X9" s="264"/>
      <c r="Y9" s="265"/>
      <c r="Z9" s="265"/>
    </row>
    <row r="10" spans="1:26" x14ac:dyDescent="0.25">
      <c r="A10" s="216">
        <v>3</v>
      </c>
      <c r="B10" s="97"/>
      <c r="C10" s="92"/>
      <c r="D10" s="244"/>
      <c r="E10" s="245"/>
      <c r="F10" s="107"/>
      <c r="G10" s="246"/>
      <c r="H10" s="112"/>
      <c r="I10" s="245"/>
      <c r="J10" s="247"/>
      <c r="K10" s="88"/>
      <c r="L10" s="77"/>
      <c r="N10" s="238"/>
      <c r="Q10" s="248"/>
      <c r="R10" s="248"/>
      <c r="S10" s="249"/>
      <c r="T10" s="250"/>
      <c r="U10" s="251"/>
      <c r="V10" s="248"/>
      <c r="W10" s="252"/>
      <c r="X10" s="249"/>
      <c r="Y10" s="252"/>
    </row>
    <row r="11" spans="1:26" ht="33.75" x14ac:dyDescent="0.25">
      <c r="A11" s="215">
        <v>4</v>
      </c>
      <c r="B11" s="97">
        <v>2016</v>
      </c>
      <c r="C11" s="92" t="s">
        <v>495</v>
      </c>
      <c r="D11" s="83">
        <f t="shared" ref="D11" si="0">E11+G11+I11+J11</f>
        <v>32964</v>
      </c>
      <c r="E11" s="84">
        <v>32964</v>
      </c>
      <c r="F11" s="88">
        <f t="shared" ref="F11" si="1">E11/D11</f>
        <v>1</v>
      </c>
      <c r="G11" s="86"/>
      <c r="H11" s="105">
        <f t="shared" ref="H11" si="2">G11/D11</f>
        <v>0</v>
      </c>
      <c r="I11" s="84">
        <v>0</v>
      </c>
      <c r="J11" s="84">
        <v>0</v>
      </c>
      <c r="K11" s="88">
        <f t="shared" ref="K11" si="3">(I11+J11)/D11</f>
        <v>0</v>
      </c>
      <c r="L11" s="235" t="s">
        <v>14</v>
      </c>
      <c r="Q11" s="248"/>
      <c r="R11" s="248"/>
      <c r="S11" s="249"/>
      <c r="T11" s="250"/>
      <c r="U11" s="251"/>
      <c r="V11" s="248"/>
      <c r="W11" s="252"/>
      <c r="X11" s="249"/>
      <c r="Y11" s="252"/>
    </row>
    <row r="12" spans="1:26" ht="23.25" customHeight="1" x14ac:dyDescent="0.25">
      <c r="A12" s="215">
        <v>5</v>
      </c>
      <c r="B12" s="97">
        <v>2016</v>
      </c>
      <c r="C12" s="92" t="s">
        <v>65</v>
      </c>
      <c r="D12" s="83">
        <f t="shared" ref="D12:D32" si="4">E12+G12+I12+J12</f>
        <v>573730.01</v>
      </c>
      <c r="E12" s="84">
        <v>286865.01</v>
      </c>
      <c r="F12" s="88">
        <f t="shared" ref="F12:F32" si="5">E12/D12</f>
        <v>0.5</v>
      </c>
      <c r="G12" s="86">
        <v>286865</v>
      </c>
      <c r="H12" s="105">
        <f t="shared" ref="H12:H32" si="6">G12/D12</f>
        <v>0.5</v>
      </c>
      <c r="I12" s="84">
        <v>0</v>
      </c>
      <c r="J12" s="84">
        <v>0</v>
      </c>
      <c r="K12" s="88">
        <f t="shared" ref="K12:K32" si="7">(I12+J12)/D12</f>
        <v>0</v>
      </c>
      <c r="L12" s="235" t="s">
        <v>14</v>
      </c>
      <c r="Q12" s="260"/>
      <c r="R12" s="260"/>
      <c r="S12" s="262"/>
      <c r="T12" s="265"/>
      <c r="U12" s="264"/>
      <c r="V12" s="260"/>
      <c r="W12" s="260"/>
      <c r="X12" s="260"/>
      <c r="Y12" s="260"/>
    </row>
    <row r="13" spans="1:26" ht="27" customHeight="1" x14ac:dyDescent="0.25">
      <c r="A13" s="216">
        <v>6</v>
      </c>
      <c r="B13" s="97" t="s">
        <v>456</v>
      </c>
      <c r="C13" s="92" t="s">
        <v>66</v>
      </c>
      <c r="D13" s="83">
        <f>E13+G13+I13+J13</f>
        <v>544386.91</v>
      </c>
      <c r="E13" s="84">
        <v>272193.46000000002</v>
      </c>
      <c r="F13" s="88">
        <f t="shared" si="5"/>
        <v>0.5</v>
      </c>
      <c r="G13" s="86">
        <v>272193.45</v>
      </c>
      <c r="H13" s="105">
        <f t="shared" si="6"/>
        <v>0.5</v>
      </c>
      <c r="I13" s="84">
        <v>0</v>
      </c>
      <c r="J13" s="84">
        <v>0</v>
      </c>
      <c r="K13" s="88">
        <f t="shared" si="7"/>
        <v>0</v>
      </c>
      <c r="L13" s="235" t="s">
        <v>14</v>
      </c>
      <c r="M13" s="115"/>
      <c r="Q13" s="260"/>
      <c r="R13" s="260"/>
      <c r="S13" s="262"/>
      <c r="T13" s="265"/>
      <c r="U13" s="264"/>
      <c r="V13" s="260"/>
      <c r="W13" s="260"/>
      <c r="X13" s="262"/>
      <c r="Y13" s="260"/>
    </row>
    <row r="14" spans="1:26" ht="33.75" x14ac:dyDescent="0.25">
      <c r="A14" s="215">
        <v>7</v>
      </c>
      <c r="B14" s="97">
        <v>2016</v>
      </c>
      <c r="C14" s="92" t="s">
        <v>67</v>
      </c>
      <c r="D14" s="83">
        <f>E14+G14+I14+J14</f>
        <v>26221.1</v>
      </c>
      <c r="E14" s="84">
        <v>13110.55</v>
      </c>
      <c r="F14" s="88">
        <f t="shared" si="5"/>
        <v>0.5</v>
      </c>
      <c r="G14" s="86">
        <v>13110.55</v>
      </c>
      <c r="H14" s="105">
        <f t="shared" si="6"/>
        <v>0.5</v>
      </c>
      <c r="I14" s="84">
        <v>0</v>
      </c>
      <c r="J14" s="84">
        <v>0</v>
      </c>
      <c r="K14" s="88">
        <f t="shared" si="7"/>
        <v>0</v>
      </c>
      <c r="L14" s="235" t="s">
        <v>14</v>
      </c>
      <c r="Q14" s="260"/>
      <c r="R14" s="260"/>
      <c r="S14" s="262"/>
      <c r="T14" s="265"/>
      <c r="U14" s="264"/>
      <c r="V14" s="260"/>
      <c r="W14" s="260"/>
      <c r="X14" s="262"/>
      <c r="Y14" s="260"/>
    </row>
    <row r="15" spans="1:26" ht="45" x14ac:dyDescent="0.25">
      <c r="A15" s="215">
        <v>8</v>
      </c>
      <c r="B15" s="119">
        <v>2016</v>
      </c>
      <c r="C15" s="28" t="s">
        <v>68</v>
      </c>
      <c r="D15" s="83">
        <v>97785</v>
      </c>
      <c r="E15" s="84">
        <f>D15-G15</f>
        <v>77785</v>
      </c>
      <c r="F15" s="88">
        <f t="shared" si="5"/>
        <v>0.8</v>
      </c>
      <c r="G15" s="86">
        <v>20000</v>
      </c>
      <c r="H15" s="105">
        <f t="shared" si="6"/>
        <v>0.2</v>
      </c>
      <c r="I15" s="84">
        <v>0</v>
      </c>
      <c r="J15" s="84">
        <v>0</v>
      </c>
      <c r="K15" s="88">
        <f t="shared" si="7"/>
        <v>0</v>
      </c>
      <c r="L15" s="235" t="s">
        <v>14</v>
      </c>
      <c r="Q15" s="260"/>
      <c r="R15" s="260"/>
      <c r="S15" s="262"/>
      <c r="T15" s="265"/>
      <c r="U15" s="264"/>
      <c r="V15" s="260"/>
      <c r="W15" s="260"/>
      <c r="X15" s="262"/>
      <c r="Y15" s="260"/>
    </row>
    <row r="16" spans="1:26" ht="84" x14ac:dyDescent="0.25">
      <c r="A16" s="216">
        <v>9</v>
      </c>
      <c r="B16" s="97">
        <v>2016</v>
      </c>
      <c r="C16" s="291" t="s">
        <v>469</v>
      </c>
      <c r="D16" s="83">
        <f>E16+G16+I16+J16</f>
        <v>15750.3</v>
      </c>
      <c r="E16" s="84">
        <v>7875.15</v>
      </c>
      <c r="F16" s="88">
        <f t="shared" ref="F16:F17" si="8">E16/D16</f>
        <v>0.5</v>
      </c>
      <c r="G16" s="86">
        <v>7875.15</v>
      </c>
      <c r="H16" s="105">
        <f t="shared" ref="H16:H17" si="9">G16/D16</f>
        <v>0.5</v>
      </c>
      <c r="I16" s="84">
        <v>0</v>
      </c>
      <c r="J16" s="84">
        <v>0</v>
      </c>
      <c r="K16" s="88">
        <f t="shared" ref="K16:K17" si="10">(I16+J16)/D16</f>
        <v>0</v>
      </c>
      <c r="L16" s="235" t="s">
        <v>14</v>
      </c>
      <c r="M16" s="115"/>
      <c r="Q16" s="260"/>
      <c r="R16" s="260"/>
      <c r="S16" s="262"/>
      <c r="T16" s="265"/>
      <c r="U16" s="264"/>
      <c r="V16" s="260"/>
      <c r="W16" s="260"/>
      <c r="X16" s="262"/>
      <c r="Y16" s="260"/>
    </row>
    <row r="17" spans="1:25" ht="45" x14ac:dyDescent="0.25">
      <c r="A17" s="215">
        <v>10</v>
      </c>
      <c r="B17" s="97">
        <v>2017</v>
      </c>
      <c r="C17" s="92" t="s">
        <v>498</v>
      </c>
      <c r="D17" s="83">
        <v>28290</v>
      </c>
      <c r="E17" s="84"/>
      <c r="F17" s="88">
        <f t="shared" si="8"/>
        <v>0</v>
      </c>
      <c r="G17" s="86"/>
      <c r="H17" s="105">
        <f t="shared" si="9"/>
        <v>0</v>
      </c>
      <c r="I17" s="84">
        <v>0</v>
      </c>
      <c r="J17" s="84">
        <v>0</v>
      </c>
      <c r="K17" s="88">
        <f t="shared" si="10"/>
        <v>0</v>
      </c>
      <c r="L17" s="235" t="s">
        <v>14</v>
      </c>
      <c r="M17" s="115"/>
      <c r="Q17" s="260"/>
      <c r="R17" s="260"/>
      <c r="S17" s="262"/>
      <c r="T17" s="265"/>
      <c r="U17" s="264"/>
      <c r="V17" s="260"/>
      <c r="W17" s="260"/>
      <c r="X17" s="262"/>
      <c r="Y17" s="260"/>
    </row>
    <row r="18" spans="1:25" ht="33.75" x14ac:dyDescent="0.25">
      <c r="A18" s="215">
        <v>11</v>
      </c>
      <c r="B18" s="97">
        <v>2017</v>
      </c>
      <c r="C18" s="92" t="s">
        <v>69</v>
      </c>
      <c r="D18" s="83">
        <f t="shared" si="4"/>
        <v>199957.41</v>
      </c>
      <c r="E18" s="84">
        <v>99978.71</v>
      </c>
      <c r="F18" s="88">
        <f t="shared" si="5"/>
        <v>0.5</v>
      </c>
      <c r="G18" s="86">
        <v>99978.7</v>
      </c>
      <c r="H18" s="105">
        <f t="shared" si="6"/>
        <v>0.5</v>
      </c>
      <c r="I18" s="84">
        <v>0</v>
      </c>
      <c r="J18" s="84">
        <v>0</v>
      </c>
      <c r="K18" s="88">
        <f t="shared" si="7"/>
        <v>0</v>
      </c>
      <c r="L18" s="235" t="s">
        <v>14</v>
      </c>
      <c r="Q18" s="260"/>
      <c r="R18" s="260"/>
      <c r="S18" s="262"/>
      <c r="T18" s="265"/>
      <c r="U18" s="264"/>
      <c r="V18" s="260"/>
      <c r="W18" s="260"/>
      <c r="X18" s="262"/>
      <c r="Y18" s="260"/>
    </row>
    <row r="19" spans="1:25" ht="22.5" x14ac:dyDescent="0.25">
      <c r="A19" s="216">
        <v>12</v>
      </c>
      <c r="B19" s="97">
        <v>2017</v>
      </c>
      <c r="C19" s="92" t="s">
        <v>70</v>
      </c>
      <c r="D19" s="83">
        <f t="shared" si="4"/>
        <v>229909.14</v>
      </c>
      <c r="E19" s="84">
        <v>114954.57</v>
      </c>
      <c r="F19" s="88">
        <f t="shared" si="5"/>
        <v>0.5</v>
      </c>
      <c r="G19" s="86">
        <v>114954.57</v>
      </c>
      <c r="H19" s="105">
        <f t="shared" si="6"/>
        <v>0.5</v>
      </c>
      <c r="I19" s="84">
        <v>0</v>
      </c>
      <c r="J19" s="84">
        <v>0</v>
      </c>
      <c r="K19" s="88">
        <f t="shared" si="7"/>
        <v>0</v>
      </c>
      <c r="L19" s="235" t="s">
        <v>14</v>
      </c>
      <c r="Q19" s="260"/>
      <c r="R19" s="260"/>
      <c r="S19" s="262"/>
      <c r="T19" s="265"/>
      <c r="U19" s="264"/>
      <c r="V19" s="260"/>
      <c r="W19" s="260"/>
      <c r="X19" s="262"/>
      <c r="Y19" s="260"/>
    </row>
    <row r="20" spans="1:25" ht="33.75" x14ac:dyDescent="0.25">
      <c r="A20" s="215">
        <v>13</v>
      </c>
      <c r="B20" s="97">
        <v>2017</v>
      </c>
      <c r="C20" s="92" t="s">
        <v>71</v>
      </c>
      <c r="D20" s="83">
        <f t="shared" si="4"/>
        <v>226345.28</v>
      </c>
      <c r="E20" s="84">
        <v>113172.64</v>
      </c>
      <c r="F20" s="88">
        <f t="shared" si="5"/>
        <v>0.5</v>
      </c>
      <c r="G20" s="86">
        <v>113172.64</v>
      </c>
      <c r="H20" s="105">
        <f t="shared" si="6"/>
        <v>0.5</v>
      </c>
      <c r="I20" s="84">
        <v>0</v>
      </c>
      <c r="J20" s="84">
        <v>0</v>
      </c>
      <c r="K20" s="88">
        <f t="shared" si="7"/>
        <v>0</v>
      </c>
      <c r="L20" s="235" t="s">
        <v>14</v>
      </c>
      <c r="Q20" s="260"/>
      <c r="R20" s="260"/>
      <c r="S20" s="262"/>
      <c r="T20" s="265"/>
      <c r="U20" s="264"/>
      <c r="V20" s="260"/>
      <c r="W20" s="260"/>
      <c r="X20" s="262"/>
      <c r="Y20" s="260"/>
    </row>
    <row r="21" spans="1:25" ht="56.25" x14ac:dyDescent="0.25">
      <c r="A21" s="215">
        <v>14</v>
      </c>
      <c r="B21" s="292">
        <v>2018</v>
      </c>
      <c r="C21" s="293" t="s">
        <v>72</v>
      </c>
      <c r="D21" s="294">
        <v>5172000</v>
      </c>
      <c r="E21" s="295">
        <v>258600</v>
      </c>
      <c r="F21" s="296">
        <v>0.1</v>
      </c>
      <c r="G21" s="297">
        <v>258600</v>
      </c>
      <c r="H21" s="298">
        <v>0.1</v>
      </c>
      <c r="I21" s="295">
        <v>0</v>
      </c>
      <c r="J21" s="295">
        <v>4654800</v>
      </c>
      <c r="K21" s="212">
        <v>0.9</v>
      </c>
      <c r="L21" s="299" t="s">
        <v>14</v>
      </c>
      <c r="M21" s="46"/>
      <c r="N21" s="46"/>
      <c r="O21" s="62"/>
      <c r="Q21" s="260"/>
      <c r="R21" s="260"/>
      <c r="S21" s="262"/>
      <c r="T21" s="265"/>
      <c r="U21" s="264"/>
      <c r="V21" s="260"/>
      <c r="W21" s="260"/>
      <c r="X21" s="262"/>
      <c r="Y21" s="260"/>
    </row>
    <row r="22" spans="1:25" ht="33.75" x14ac:dyDescent="0.25">
      <c r="A22" s="216">
        <v>15</v>
      </c>
      <c r="B22" s="292">
        <v>2020</v>
      </c>
      <c r="C22" s="293" t="s">
        <v>503</v>
      </c>
      <c r="D22" s="294">
        <v>4528422</v>
      </c>
      <c r="E22" s="295">
        <v>2125350</v>
      </c>
      <c r="F22" s="296">
        <f t="shared" ref="F22" si="11">E22/D22</f>
        <v>0.47</v>
      </c>
      <c r="G22" s="297">
        <v>420000</v>
      </c>
      <c r="H22" s="298">
        <f>G22/D22</f>
        <v>0.09</v>
      </c>
      <c r="I22" s="295">
        <v>0</v>
      </c>
      <c r="J22" s="297">
        <f>465155+1517917</f>
        <v>1983072</v>
      </c>
      <c r="K22" s="213">
        <f>J22/D22</f>
        <v>0.44</v>
      </c>
      <c r="L22" s="299" t="s">
        <v>14</v>
      </c>
      <c r="M22" t="s">
        <v>511</v>
      </c>
      <c r="O22" s="62"/>
      <c r="Q22" s="260"/>
      <c r="R22" s="260"/>
      <c r="S22" s="262"/>
      <c r="T22" s="265"/>
      <c r="U22" s="264"/>
      <c r="V22" s="260"/>
      <c r="W22" s="265"/>
      <c r="X22" s="264"/>
      <c r="Y22" s="265"/>
    </row>
    <row r="23" spans="1:25" ht="23.25" customHeight="1" x14ac:dyDescent="0.25">
      <c r="A23" s="215">
        <v>16</v>
      </c>
      <c r="B23" s="97" t="s">
        <v>461</v>
      </c>
      <c r="C23" s="92" t="s">
        <v>262</v>
      </c>
      <c r="D23" s="83">
        <f t="shared" si="4"/>
        <v>2353349.5099999998</v>
      </c>
      <c r="E23" s="84">
        <v>206191.57</v>
      </c>
      <c r="F23" s="88">
        <f t="shared" si="5"/>
        <v>0.09</v>
      </c>
      <c r="G23" s="86">
        <v>1100000</v>
      </c>
      <c r="H23" s="105">
        <f t="shared" si="6"/>
        <v>0.47</v>
      </c>
      <c r="I23" s="84">
        <f>553632.4+493525.54</f>
        <v>1047157.94</v>
      </c>
      <c r="J23" s="84"/>
      <c r="K23" s="88">
        <f t="shared" si="7"/>
        <v>0.44</v>
      </c>
      <c r="L23" s="236" t="s">
        <v>14</v>
      </c>
      <c r="M23" s="115"/>
      <c r="Q23" s="260"/>
      <c r="R23" s="260"/>
      <c r="S23" s="262"/>
      <c r="T23" s="265"/>
      <c r="U23" s="264"/>
      <c r="V23" s="260"/>
      <c r="W23" s="265"/>
      <c r="X23" s="264"/>
      <c r="Y23" s="265"/>
    </row>
    <row r="24" spans="1:25" ht="33.75" x14ac:dyDescent="0.25">
      <c r="A24" s="215">
        <v>17</v>
      </c>
      <c r="B24" s="97">
        <v>2021</v>
      </c>
      <c r="C24" s="92" t="s">
        <v>263</v>
      </c>
      <c r="D24" s="83">
        <f t="shared" si="4"/>
        <v>37761</v>
      </c>
      <c r="E24" s="84">
        <v>18880.5</v>
      </c>
      <c r="F24" s="88">
        <f t="shared" si="5"/>
        <v>0.5</v>
      </c>
      <c r="G24" s="86">
        <v>18880.5</v>
      </c>
      <c r="H24" s="105">
        <f t="shared" si="6"/>
        <v>0.5</v>
      </c>
      <c r="I24" s="84">
        <v>0</v>
      </c>
      <c r="J24" s="84">
        <v>0</v>
      </c>
      <c r="K24" s="88">
        <f t="shared" si="7"/>
        <v>0</v>
      </c>
      <c r="L24" s="235" t="s">
        <v>14</v>
      </c>
      <c r="Q24" s="260"/>
      <c r="R24" s="260"/>
      <c r="S24" s="262"/>
      <c r="T24" s="265"/>
      <c r="U24" s="264"/>
      <c r="V24" s="260"/>
      <c r="W24" s="260"/>
      <c r="X24" s="260"/>
      <c r="Y24" s="260"/>
    </row>
    <row r="25" spans="1:25" ht="45" x14ac:dyDescent="0.25">
      <c r="A25" s="216">
        <v>18</v>
      </c>
      <c r="B25" s="97" t="s">
        <v>515</v>
      </c>
      <c r="C25" s="145" t="s">
        <v>264</v>
      </c>
      <c r="D25" s="83">
        <f t="shared" si="4"/>
        <v>178965</v>
      </c>
      <c r="E25" s="86">
        <f>27982.5+61500</f>
        <v>89482.5</v>
      </c>
      <c r="F25" s="88">
        <f t="shared" si="5"/>
        <v>0.5</v>
      </c>
      <c r="G25" s="86">
        <f>27982.5+61500</f>
        <v>89482.5</v>
      </c>
      <c r="H25" s="105">
        <f t="shared" si="6"/>
        <v>0.5</v>
      </c>
      <c r="I25" s="84">
        <v>0</v>
      </c>
      <c r="J25" s="84">
        <v>0</v>
      </c>
      <c r="K25" s="88">
        <f t="shared" si="7"/>
        <v>0</v>
      </c>
      <c r="L25" s="235" t="s">
        <v>14</v>
      </c>
      <c r="M25" s="115"/>
      <c r="P25" s="46"/>
      <c r="Q25" s="260"/>
      <c r="R25" s="260"/>
      <c r="S25" s="262"/>
      <c r="T25" s="265"/>
      <c r="U25" s="264"/>
      <c r="V25" s="260"/>
      <c r="W25" s="260"/>
      <c r="X25" s="262"/>
      <c r="Y25" s="260"/>
    </row>
    <row r="26" spans="1:25" ht="33.75" x14ac:dyDescent="0.25">
      <c r="A26" s="215">
        <v>19</v>
      </c>
      <c r="B26" s="97">
        <v>2022</v>
      </c>
      <c r="C26" s="92" t="s">
        <v>429</v>
      </c>
      <c r="D26" s="83">
        <f t="shared" si="4"/>
        <v>127059</v>
      </c>
      <c r="E26" s="84">
        <v>20233.5</v>
      </c>
      <c r="F26" s="88">
        <f t="shared" si="5"/>
        <v>0.16</v>
      </c>
      <c r="G26" s="86">
        <v>20233.5</v>
      </c>
      <c r="H26" s="105">
        <f t="shared" si="6"/>
        <v>0.16</v>
      </c>
      <c r="I26" s="84">
        <v>86592</v>
      </c>
      <c r="J26" s="84"/>
      <c r="K26" s="88">
        <f t="shared" si="7"/>
        <v>0.68</v>
      </c>
      <c r="L26" s="235" t="s">
        <v>14</v>
      </c>
      <c r="N26" s="46"/>
      <c r="O26" s="46"/>
      <c r="P26" s="46"/>
      <c r="Q26" s="260"/>
      <c r="R26" s="260"/>
      <c r="S26" s="262"/>
      <c r="T26" s="265"/>
      <c r="U26" s="264"/>
      <c r="V26" s="260"/>
      <c r="W26" s="260"/>
      <c r="X26" s="262"/>
      <c r="Y26" s="260"/>
    </row>
    <row r="27" spans="1:25" ht="33.75" x14ac:dyDescent="0.25">
      <c r="A27" s="215">
        <v>20</v>
      </c>
      <c r="B27" s="97">
        <v>2022</v>
      </c>
      <c r="C27" s="92" t="s">
        <v>265</v>
      </c>
      <c r="D27" s="83">
        <f t="shared" si="4"/>
        <v>150834.9</v>
      </c>
      <c r="E27" s="84">
        <v>27201.45</v>
      </c>
      <c r="F27" s="88">
        <f t="shared" si="5"/>
        <v>0.18</v>
      </c>
      <c r="G27" s="86">
        <v>27201.45</v>
      </c>
      <c r="H27" s="105">
        <f t="shared" si="6"/>
        <v>0.18</v>
      </c>
      <c r="I27" s="84">
        <v>96432</v>
      </c>
      <c r="J27" s="84"/>
      <c r="K27" s="88">
        <f t="shared" si="7"/>
        <v>0.64</v>
      </c>
      <c r="L27" s="235" t="s">
        <v>14</v>
      </c>
      <c r="Q27" s="260"/>
      <c r="R27" s="260"/>
      <c r="S27" s="262"/>
      <c r="T27" s="265"/>
      <c r="U27" s="264"/>
      <c r="V27" s="260"/>
      <c r="W27" s="260"/>
      <c r="X27" s="262"/>
      <c r="Y27" s="260"/>
    </row>
    <row r="28" spans="1:25" ht="22.5" x14ac:dyDescent="0.25">
      <c r="A28" s="216">
        <v>21</v>
      </c>
      <c r="B28" s="81" t="s">
        <v>518</v>
      </c>
      <c r="C28" s="300" t="s">
        <v>266</v>
      </c>
      <c r="D28" s="83">
        <f t="shared" si="4"/>
        <v>2406528.9500000002</v>
      </c>
      <c r="E28" s="86">
        <v>826326.07</v>
      </c>
      <c r="F28" s="88">
        <f t="shared" si="5"/>
        <v>0.34</v>
      </c>
      <c r="G28" s="86">
        <v>826326.06</v>
      </c>
      <c r="H28" s="105">
        <f t="shared" si="6"/>
        <v>0.34</v>
      </c>
      <c r="I28" s="84">
        <v>753876.82</v>
      </c>
      <c r="J28" s="84">
        <v>0</v>
      </c>
      <c r="K28" s="88">
        <f t="shared" si="7"/>
        <v>0.31</v>
      </c>
      <c r="L28" s="77" t="s">
        <v>14</v>
      </c>
      <c r="Q28" s="72"/>
      <c r="R28" s="72"/>
      <c r="S28" s="255"/>
      <c r="T28" s="273"/>
      <c r="U28" s="257"/>
      <c r="V28" s="72"/>
      <c r="W28" s="72"/>
      <c r="X28" s="255"/>
      <c r="Y28" s="258"/>
    </row>
    <row r="29" spans="1:25" ht="22.5" x14ac:dyDescent="0.25">
      <c r="A29" s="215">
        <v>22</v>
      </c>
      <c r="B29" s="81">
        <v>2023</v>
      </c>
      <c r="C29" s="300" t="s">
        <v>267</v>
      </c>
      <c r="D29" s="83">
        <f t="shared" si="4"/>
        <v>1839050.74</v>
      </c>
      <c r="E29" s="86">
        <v>77552.92</v>
      </c>
      <c r="F29" s="88">
        <f t="shared" si="5"/>
        <v>0.04</v>
      </c>
      <c r="G29" s="86">
        <v>77552.91</v>
      </c>
      <c r="H29" s="105">
        <f t="shared" si="6"/>
        <v>0.04</v>
      </c>
      <c r="I29" s="84">
        <v>1683944.91</v>
      </c>
      <c r="J29" s="84"/>
      <c r="K29" s="88">
        <f t="shared" si="7"/>
        <v>0.92</v>
      </c>
      <c r="L29" s="77" t="s">
        <v>14</v>
      </c>
      <c r="Q29" s="72"/>
      <c r="R29" s="72"/>
      <c r="S29" s="255"/>
      <c r="T29" s="273"/>
      <c r="U29" s="257"/>
      <c r="V29" s="72"/>
      <c r="W29" s="72"/>
      <c r="X29" s="255"/>
      <c r="Y29" s="258"/>
    </row>
    <row r="30" spans="1:25" ht="33.75" x14ac:dyDescent="0.25">
      <c r="A30" s="215">
        <v>23</v>
      </c>
      <c r="B30" s="81" t="s">
        <v>516</v>
      </c>
      <c r="C30" s="301" t="s">
        <v>430</v>
      </c>
      <c r="D30" s="83">
        <f t="shared" si="4"/>
        <v>476502</v>
      </c>
      <c r="E30" s="84">
        <f>213651+24600</f>
        <v>238251</v>
      </c>
      <c r="F30" s="88">
        <f t="shared" si="5"/>
        <v>0.5</v>
      </c>
      <c r="G30" s="86">
        <f>213651+24600</f>
        <v>238251</v>
      </c>
      <c r="H30" s="105">
        <f t="shared" si="6"/>
        <v>0.5</v>
      </c>
      <c r="I30" s="84">
        <v>0</v>
      </c>
      <c r="J30" s="84">
        <v>0</v>
      </c>
      <c r="K30" s="88">
        <f t="shared" si="7"/>
        <v>0</v>
      </c>
      <c r="L30" s="77" t="s">
        <v>14</v>
      </c>
      <c r="Q30" s="72"/>
      <c r="R30" s="72"/>
      <c r="S30" s="255"/>
      <c r="T30" s="273"/>
      <c r="U30" s="257"/>
      <c r="V30" s="72"/>
      <c r="W30" s="72"/>
      <c r="X30" s="255"/>
      <c r="Y30" s="258"/>
    </row>
    <row r="31" spans="1:25" ht="67.5" x14ac:dyDescent="0.25">
      <c r="A31" s="223">
        <v>24</v>
      </c>
      <c r="B31" s="81">
        <v>2024</v>
      </c>
      <c r="C31" s="300" t="s">
        <v>480</v>
      </c>
      <c r="D31" s="83">
        <f t="shared" ref="D31" si="12">E31+G31+I31+J31</f>
        <v>186440.94</v>
      </c>
      <c r="E31" s="86">
        <v>43528.47</v>
      </c>
      <c r="F31" s="88">
        <f t="shared" ref="F31" si="13">E31/D31</f>
        <v>0.23</v>
      </c>
      <c r="G31" s="86">
        <v>43528.47</v>
      </c>
      <c r="H31" s="105">
        <f t="shared" ref="H31" si="14">G31/D31</f>
        <v>0.23</v>
      </c>
      <c r="I31" s="84">
        <v>99384</v>
      </c>
      <c r="J31" s="84">
        <v>0</v>
      </c>
      <c r="K31" s="88">
        <f t="shared" ref="K31" si="15">(I31+J31)/D31</f>
        <v>0.53</v>
      </c>
      <c r="L31" s="77" t="s">
        <v>14</v>
      </c>
      <c r="Q31" s="72"/>
      <c r="R31" s="72"/>
      <c r="S31" s="255"/>
      <c r="T31" s="273"/>
      <c r="U31" s="257"/>
      <c r="V31" s="72"/>
      <c r="W31" s="72"/>
      <c r="X31" s="255"/>
      <c r="Y31" s="258"/>
    </row>
    <row r="32" spans="1:25" ht="33.75" x14ac:dyDescent="0.25">
      <c r="A32" s="209">
        <v>25</v>
      </c>
      <c r="B32" s="81" t="s">
        <v>515</v>
      </c>
      <c r="C32" s="300" t="s">
        <v>269</v>
      </c>
      <c r="D32" s="83">
        <f t="shared" si="4"/>
        <v>135300</v>
      </c>
      <c r="E32" s="84">
        <v>135300</v>
      </c>
      <c r="F32" s="88">
        <f t="shared" si="5"/>
        <v>1</v>
      </c>
      <c r="G32" s="86">
        <v>0</v>
      </c>
      <c r="H32" s="105">
        <f t="shared" si="6"/>
        <v>0</v>
      </c>
      <c r="I32" s="84">
        <v>0</v>
      </c>
      <c r="J32" s="84">
        <v>0</v>
      </c>
      <c r="K32" s="88">
        <f t="shared" si="7"/>
        <v>0</v>
      </c>
      <c r="L32" s="77" t="s">
        <v>14</v>
      </c>
      <c r="Q32" s="72"/>
      <c r="R32" s="72"/>
      <c r="S32" s="255"/>
      <c r="T32" s="273"/>
      <c r="U32" s="257"/>
      <c r="V32" s="72"/>
      <c r="W32" s="72"/>
      <c r="X32" s="255"/>
      <c r="Y32" s="258"/>
    </row>
    <row r="33" spans="1:25" ht="22.5" x14ac:dyDescent="0.25">
      <c r="A33" s="209">
        <v>26</v>
      </c>
      <c r="B33" s="81">
        <v>2025</v>
      </c>
      <c r="C33" s="300" t="s">
        <v>489</v>
      </c>
      <c r="D33" s="83">
        <f t="shared" ref="D33" si="16">E33+G33+I33+J33</f>
        <v>714307.74</v>
      </c>
      <c r="E33" s="84">
        <v>306378.87</v>
      </c>
      <c r="F33" s="88">
        <f t="shared" ref="F33" si="17">E33/D33</f>
        <v>0.43</v>
      </c>
      <c r="G33" s="86">
        <v>60000</v>
      </c>
      <c r="H33" s="105">
        <f t="shared" ref="H33" si="18">G33/D33</f>
        <v>0.08</v>
      </c>
      <c r="I33" s="84">
        <v>347928.87</v>
      </c>
      <c r="J33" s="84">
        <v>0</v>
      </c>
      <c r="K33" s="88">
        <f t="shared" ref="K33" si="19">(I33+J33)/D33</f>
        <v>0.49</v>
      </c>
      <c r="L33" s="77" t="s">
        <v>14</v>
      </c>
      <c r="M33" s="115"/>
      <c r="Q33" s="72"/>
      <c r="R33" s="72"/>
      <c r="S33" s="255"/>
      <c r="T33" s="273"/>
      <c r="U33" s="257"/>
      <c r="V33" s="72"/>
      <c r="W33" s="72"/>
      <c r="X33" s="255"/>
      <c r="Y33" s="258"/>
    </row>
    <row r="34" spans="1:25" ht="30" customHeight="1" x14ac:dyDescent="0.25">
      <c r="A34" s="372" t="s">
        <v>34</v>
      </c>
      <c r="B34" s="373"/>
      <c r="C34" s="374"/>
      <c r="D34" s="188">
        <f>SUM(D9:D33)</f>
        <v>20349936.510000002</v>
      </c>
      <c r="E34" s="188">
        <f>SUM(E8:E33)</f>
        <v>5426359.5199999996</v>
      </c>
      <c r="F34" s="189">
        <f>E34/D34</f>
        <v>0.27</v>
      </c>
      <c r="G34" s="188">
        <f>SUM(G8:G33)</f>
        <v>4128206.45</v>
      </c>
      <c r="H34" s="190">
        <f>G34/D34</f>
        <v>0.2</v>
      </c>
      <c r="I34" s="188">
        <f>SUM(I9:I33)</f>
        <v>4115316.54</v>
      </c>
      <c r="J34" s="188">
        <f>SUM(J9:J33)</f>
        <v>6660128</v>
      </c>
      <c r="K34" s="189">
        <f>(I34+J34)/D34</f>
        <v>0.53</v>
      </c>
      <c r="L34" s="191" t="s">
        <v>35</v>
      </c>
    </row>
  </sheetData>
  <mergeCells count="18">
    <mergeCell ref="D3:D6"/>
    <mergeCell ref="E3:K3"/>
    <mergeCell ref="L3:L6"/>
    <mergeCell ref="A34:C34"/>
    <mergeCell ref="A2:L2"/>
    <mergeCell ref="E4:F4"/>
    <mergeCell ref="G4:H4"/>
    <mergeCell ref="I4:K4"/>
    <mergeCell ref="E5:E6"/>
    <mergeCell ref="F5:F6"/>
    <mergeCell ref="G5:G6"/>
    <mergeCell ref="H5:H6"/>
    <mergeCell ref="I5:I6"/>
    <mergeCell ref="J5:J6"/>
    <mergeCell ref="K5:K6"/>
    <mergeCell ref="A3:A6"/>
    <mergeCell ref="B3:B6"/>
    <mergeCell ref="C3:C6"/>
  </mergeCells>
  <phoneticPr fontId="19" type="noConversion"/>
  <pageMargins left="0.7" right="0.7" top="0.75" bottom="0.75" header="0.3" footer="0.3"/>
  <pageSetup paperSize="9" orientation="portrait" r:id="rId1"/>
  <ignoredErrors>
    <ignoredError sqref="F3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W68"/>
  <sheetViews>
    <sheetView topLeftCell="E44" zoomScale="90" zoomScaleNormal="90" workbookViewId="0">
      <selection activeCell="O54" sqref="O1:X54"/>
    </sheetView>
  </sheetViews>
  <sheetFormatPr defaultRowHeight="15" x14ac:dyDescent="0.25"/>
  <cols>
    <col min="1" max="1" width="9.140625" style="214"/>
    <col min="2" max="2" width="17.42578125" style="50" customWidth="1"/>
    <col min="3" max="3" width="38.85546875" customWidth="1"/>
    <col min="4" max="4" width="14.85546875" style="54" customWidth="1"/>
    <col min="5" max="5" width="15.42578125" style="54" customWidth="1"/>
    <col min="6" max="6" width="9.28515625" customWidth="1"/>
    <col min="7" max="7" width="13.140625" style="54" customWidth="1"/>
    <col min="8" max="8" width="9.5703125" customWidth="1"/>
    <col min="9" max="9" width="16.140625" style="54" customWidth="1"/>
    <col min="10" max="10" width="15.28515625" style="54" customWidth="1"/>
    <col min="11" max="11" width="10.28515625" customWidth="1"/>
    <col min="12" max="12" width="16.28515625" style="50" customWidth="1"/>
    <col min="13" max="13" width="14.85546875" bestFit="1" customWidth="1"/>
    <col min="14" max="14" width="29.5703125" customWidth="1"/>
  </cols>
  <sheetData>
    <row r="2" spans="1:23" ht="57" customHeight="1" x14ac:dyDescent="0.25">
      <c r="A2" s="338" t="s">
        <v>270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23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23" ht="26.2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23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23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23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23" ht="22.5" customHeight="1" x14ac:dyDescent="0.25">
      <c r="A8" s="215">
        <v>1</v>
      </c>
      <c r="B8" s="97">
        <v>2015</v>
      </c>
      <c r="C8" s="92" t="s">
        <v>73</v>
      </c>
      <c r="D8" s="83">
        <f>E8+G8+I8+J8</f>
        <v>2305334.2000000002</v>
      </c>
      <c r="E8" s="84">
        <v>1152667.1000000001</v>
      </c>
      <c r="F8" s="88">
        <f>E8/D8</f>
        <v>0.5</v>
      </c>
      <c r="G8" s="86">
        <v>1152667.1000000001</v>
      </c>
      <c r="H8" s="105">
        <f>G8/D8</f>
        <v>0.5</v>
      </c>
      <c r="I8" s="84">
        <v>0</v>
      </c>
      <c r="J8" s="84">
        <v>0</v>
      </c>
      <c r="K8" s="88">
        <f>(I8+J8)/D8</f>
        <v>0</v>
      </c>
      <c r="L8" s="235" t="s">
        <v>14</v>
      </c>
      <c r="O8" s="260"/>
      <c r="P8" s="260"/>
      <c r="Q8" s="262"/>
      <c r="R8" s="265"/>
      <c r="S8" s="264"/>
      <c r="T8" s="260"/>
      <c r="U8" s="260"/>
      <c r="V8" s="262"/>
      <c r="W8" s="260"/>
    </row>
    <row r="9" spans="1:23" ht="38.25" customHeight="1" x14ac:dyDescent="0.25">
      <c r="A9" s="215">
        <v>2</v>
      </c>
      <c r="B9" s="97">
        <v>2015</v>
      </c>
      <c r="C9" s="92" t="s">
        <v>74</v>
      </c>
      <c r="D9" s="83">
        <f>E9+G9+I9+J9</f>
        <v>19935.7</v>
      </c>
      <c r="E9" s="84">
        <v>9967.85</v>
      </c>
      <c r="F9" s="88">
        <f t="shared" ref="F9:F54" si="0">E9/D9</f>
        <v>0.5</v>
      </c>
      <c r="G9" s="86">
        <v>9967.85</v>
      </c>
      <c r="H9" s="105">
        <f t="shared" ref="H9:H54" si="1">G9/D9</f>
        <v>0.5</v>
      </c>
      <c r="I9" s="84">
        <v>0</v>
      </c>
      <c r="J9" s="84">
        <v>0</v>
      </c>
      <c r="K9" s="88">
        <f t="shared" ref="K9:K54" si="2">(I9+J9)/D9</f>
        <v>0</v>
      </c>
      <c r="L9" s="235" t="s">
        <v>14</v>
      </c>
      <c r="O9" s="260"/>
      <c r="P9" s="260"/>
      <c r="Q9" s="262"/>
      <c r="R9" s="265"/>
      <c r="S9" s="264"/>
      <c r="T9" s="260"/>
      <c r="U9" s="260"/>
      <c r="V9" s="262"/>
      <c r="W9" s="260"/>
    </row>
    <row r="10" spans="1:23" ht="25.5" customHeight="1" x14ac:dyDescent="0.25">
      <c r="A10" s="215">
        <v>3</v>
      </c>
      <c r="B10" s="97">
        <v>2016</v>
      </c>
      <c r="C10" s="92" t="s">
        <v>75</v>
      </c>
      <c r="D10" s="83">
        <f t="shared" ref="D10:D54" si="3">E10+G10+I10+J10</f>
        <v>680326.71</v>
      </c>
      <c r="E10" s="84">
        <v>340163.36</v>
      </c>
      <c r="F10" s="88">
        <f t="shared" si="0"/>
        <v>0.5</v>
      </c>
      <c r="G10" s="86">
        <v>340163.35</v>
      </c>
      <c r="H10" s="105">
        <f t="shared" si="1"/>
        <v>0.5</v>
      </c>
      <c r="I10" s="84">
        <v>0</v>
      </c>
      <c r="J10" s="84">
        <v>0</v>
      </c>
      <c r="K10" s="88">
        <f t="shared" si="2"/>
        <v>0</v>
      </c>
      <c r="L10" s="235" t="s">
        <v>14</v>
      </c>
      <c r="O10" s="248"/>
      <c r="P10" s="248"/>
      <c r="Q10" s="249"/>
      <c r="R10" s="250"/>
      <c r="S10" s="251"/>
      <c r="T10" s="252"/>
      <c r="U10" s="248"/>
      <c r="V10" s="249"/>
      <c r="W10" s="248"/>
    </row>
    <row r="11" spans="1:23" ht="27" customHeight="1" x14ac:dyDescent="0.25">
      <c r="A11" s="209">
        <v>4</v>
      </c>
      <c r="B11" s="81" t="s">
        <v>456</v>
      </c>
      <c r="C11" s="82" t="s">
        <v>76</v>
      </c>
      <c r="D11" s="83">
        <f t="shared" si="3"/>
        <v>1526140.7</v>
      </c>
      <c r="E11" s="84">
        <v>763070.35</v>
      </c>
      <c r="F11" s="88">
        <f t="shared" si="0"/>
        <v>0.5</v>
      </c>
      <c r="G11" s="86">
        <f>102101.94+660968.41</f>
        <v>763070.35</v>
      </c>
      <c r="H11" s="105">
        <f t="shared" si="1"/>
        <v>0.5</v>
      </c>
      <c r="I11" s="84">
        <v>0</v>
      </c>
      <c r="J11" s="84">
        <v>0</v>
      </c>
      <c r="K11" s="88">
        <f t="shared" si="2"/>
        <v>0</v>
      </c>
      <c r="L11" s="77" t="s">
        <v>14</v>
      </c>
      <c r="M11" s="115"/>
      <c r="O11" s="254"/>
      <c r="P11" s="254"/>
      <c r="Q11" s="255"/>
      <c r="R11" s="254"/>
      <c r="S11" s="255"/>
      <c r="T11" s="258"/>
      <c r="U11" s="258"/>
      <c r="V11" s="255"/>
      <c r="W11" s="258"/>
    </row>
    <row r="12" spans="1:23" ht="56.25" x14ac:dyDescent="0.25">
      <c r="A12" s="209">
        <v>5</v>
      </c>
      <c r="B12" s="81" t="s">
        <v>456</v>
      </c>
      <c r="C12" s="82" t="s">
        <v>77</v>
      </c>
      <c r="D12" s="83">
        <f t="shared" si="3"/>
        <v>1852145.4</v>
      </c>
      <c r="E12" s="84">
        <f>246540.4+680605</f>
        <v>927145.4</v>
      </c>
      <c r="F12" s="88">
        <f t="shared" si="0"/>
        <v>0.5</v>
      </c>
      <c r="G12" s="86">
        <v>925000</v>
      </c>
      <c r="H12" s="105">
        <f t="shared" si="1"/>
        <v>0.5</v>
      </c>
      <c r="I12" s="84">
        <v>0</v>
      </c>
      <c r="J12" s="84">
        <v>0</v>
      </c>
      <c r="K12" s="88">
        <f t="shared" si="2"/>
        <v>0</v>
      </c>
      <c r="L12" s="77" t="s">
        <v>14</v>
      </c>
      <c r="O12" s="254"/>
      <c r="P12" s="254"/>
      <c r="Q12" s="255"/>
      <c r="R12" s="254"/>
      <c r="S12" s="255"/>
      <c r="T12" s="258"/>
      <c r="U12" s="258"/>
      <c r="V12" s="255"/>
      <c r="W12" s="258"/>
    </row>
    <row r="13" spans="1:23" ht="45" x14ac:dyDescent="0.25">
      <c r="A13" s="223">
        <v>6</v>
      </c>
      <c r="B13" s="81" t="s">
        <v>456</v>
      </c>
      <c r="C13" s="82" t="s">
        <v>78</v>
      </c>
      <c r="D13" s="83">
        <f t="shared" si="3"/>
        <v>183550.4</v>
      </c>
      <c r="E13" s="84">
        <v>91775.2</v>
      </c>
      <c r="F13" s="88">
        <f t="shared" si="0"/>
        <v>0.5</v>
      </c>
      <c r="G13" s="86">
        <v>91775.2</v>
      </c>
      <c r="H13" s="105">
        <f t="shared" si="1"/>
        <v>0.5</v>
      </c>
      <c r="I13" s="51"/>
      <c r="J13" s="51"/>
      <c r="K13" s="88">
        <f t="shared" si="2"/>
        <v>0</v>
      </c>
      <c r="L13" s="77" t="s">
        <v>14</v>
      </c>
      <c r="N13" s="62"/>
      <c r="O13" s="254"/>
      <c r="P13" s="254"/>
      <c r="Q13" s="255"/>
      <c r="R13" s="254"/>
      <c r="S13" s="255"/>
      <c r="T13" s="258"/>
      <c r="U13" s="258"/>
      <c r="V13" s="255"/>
      <c r="W13" s="258"/>
    </row>
    <row r="14" spans="1:23" ht="33.75" x14ac:dyDescent="0.25">
      <c r="A14" s="223">
        <v>7</v>
      </c>
      <c r="B14" s="81">
        <v>2016</v>
      </c>
      <c r="C14" s="82" t="s">
        <v>79</v>
      </c>
      <c r="D14" s="83">
        <f>E14+G14+I14+J14</f>
        <v>44493.8</v>
      </c>
      <c r="E14" s="84">
        <v>22493.8</v>
      </c>
      <c r="F14" s="88">
        <f t="shared" si="0"/>
        <v>0.51</v>
      </c>
      <c r="G14" s="86">
        <v>22000</v>
      </c>
      <c r="H14" s="105">
        <f t="shared" si="1"/>
        <v>0.49</v>
      </c>
      <c r="I14" s="84">
        <v>0</v>
      </c>
      <c r="J14" s="84">
        <v>0</v>
      </c>
      <c r="K14" s="88">
        <f t="shared" si="2"/>
        <v>0</v>
      </c>
      <c r="L14" s="77" t="s">
        <v>14</v>
      </c>
      <c r="O14" s="254"/>
      <c r="P14" s="254"/>
      <c r="Q14" s="255"/>
      <c r="R14" s="254"/>
      <c r="S14" s="255"/>
      <c r="T14" s="258"/>
      <c r="U14" s="258"/>
      <c r="V14" s="255"/>
      <c r="W14" s="258"/>
    </row>
    <row r="15" spans="1:23" ht="33.75" x14ac:dyDescent="0.25">
      <c r="A15" s="223">
        <v>8</v>
      </c>
      <c r="B15" s="81">
        <v>2016</v>
      </c>
      <c r="C15" s="82" t="s">
        <v>80</v>
      </c>
      <c r="D15" s="83">
        <v>37052.1</v>
      </c>
      <c r="E15" s="84">
        <f>D15-G15</f>
        <v>18526.05</v>
      </c>
      <c r="F15" s="88">
        <f t="shared" si="0"/>
        <v>0.5</v>
      </c>
      <c r="G15" s="86">
        <v>18526.05</v>
      </c>
      <c r="H15" s="105">
        <f t="shared" si="1"/>
        <v>0.5</v>
      </c>
      <c r="I15" s="84"/>
      <c r="J15" s="84"/>
      <c r="K15" s="88">
        <f t="shared" si="2"/>
        <v>0</v>
      </c>
      <c r="L15" s="77" t="s">
        <v>14</v>
      </c>
      <c r="O15" s="254"/>
      <c r="P15" s="254"/>
      <c r="Q15" s="255"/>
      <c r="R15" s="254"/>
      <c r="S15" s="255"/>
      <c r="T15" s="258"/>
      <c r="U15" s="258"/>
      <c r="V15" s="255"/>
      <c r="W15" s="258"/>
    </row>
    <row r="16" spans="1:23" ht="45" x14ac:dyDescent="0.25">
      <c r="A16" s="223"/>
      <c r="B16" s="81">
        <v>2019</v>
      </c>
      <c r="C16" s="82" t="s">
        <v>471</v>
      </c>
      <c r="D16" s="83">
        <f>E16+G16+I16+J16</f>
        <v>6888</v>
      </c>
      <c r="E16" s="84">
        <v>3444</v>
      </c>
      <c r="F16" s="88">
        <f t="shared" ref="F16" si="4">E16/D16</f>
        <v>0.5</v>
      </c>
      <c r="G16" s="86">
        <v>3444</v>
      </c>
      <c r="H16" s="105">
        <f t="shared" ref="H16" si="5">G16/D16</f>
        <v>0.5</v>
      </c>
      <c r="I16" s="84">
        <v>0</v>
      </c>
      <c r="J16" s="84">
        <v>0</v>
      </c>
      <c r="K16" s="88">
        <f t="shared" ref="K16" si="6">(I16+J16)/D16</f>
        <v>0</v>
      </c>
      <c r="L16" s="77" t="s">
        <v>14</v>
      </c>
      <c r="M16" s="61"/>
      <c r="O16" s="254"/>
      <c r="P16" s="254"/>
      <c r="Q16" s="255"/>
      <c r="R16" s="254"/>
      <c r="S16" s="255"/>
      <c r="T16" s="258"/>
      <c r="U16" s="258"/>
      <c r="V16" s="255"/>
      <c r="W16" s="258"/>
    </row>
    <row r="17" spans="1:23" ht="56.25" x14ac:dyDescent="0.25">
      <c r="A17" s="223">
        <v>9</v>
      </c>
      <c r="B17" s="81" t="s">
        <v>456</v>
      </c>
      <c r="C17" s="82" t="s">
        <v>81</v>
      </c>
      <c r="D17" s="83">
        <f>E17+G17+I17+J17</f>
        <v>150326.57999999999</v>
      </c>
      <c r="E17" s="84">
        <v>75163.289999999994</v>
      </c>
      <c r="F17" s="88">
        <f t="shared" si="0"/>
        <v>0.5</v>
      </c>
      <c r="G17" s="86">
        <v>75163.289999999994</v>
      </c>
      <c r="H17" s="105">
        <f t="shared" si="1"/>
        <v>0.5</v>
      </c>
      <c r="I17" s="84">
        <v>0</v>
      </c>
      <c r="J17" s="84">
        <v>0</v>
      </c>
      <c r="K17" s="88">
        <f t="shared" si="2"/>
        <v>0</v>
      </c>
      <c r="L17" s="77" t="s">
        <v>14</v>
      </c>
      <c r="N17" s="62"/>
      <c r="O17" s="254"/>
      <c r="P17" s="254"/>
      <c r="Q17" s="255"/>
      <c r="R17" s="254"/>
      <c r="S17" s="255"/>
      <c r="T17" s="258"/>
      <c r="U17" s="258"/>
      <c r="V17" s="255"/>
      <c r="W17" s="258"/>
    </row>
    <row r="18" spans="1:23" ht="33.75" x14ac:dyDescent="0.25">
      <c r="A18" s="223">
        <v>10</v>
      </c>
      <c r="B18" s="81">
        <v>2016</v>
      </c>
      <c r="C18" s="82" t="s">
        <v>82</v>
      </c>
      <c r="D18" s="83">
        <v>114408</v>
      </c>
      <c r="E18" s="84">
        <f>D18-G18</f>
        <v>57208</v>
      </c>
      <c r="F18" s="88">
        <f t="shared" si="0"/>
        <v>0.5</v>
      </c>
      <c r="G18" s="86">
        <v>57200</v>
      </c>
      <c r="H18" s="105">
        <f t="shared" si="1"/>
        <v>0.5</v>
      </c>
      <c r="I18" s="84">
        <v>0</v>
      </c>
      <c r="J18" s="84">
        <v>0</v>
      </c>
      <c r="K18" s="88">
        <f t="shared" si="2"/>
        <v>0</v>
      </c>
      <c r="L18" s="77" t="s">
        <v>14</v>
      </c>
      <c r="O18" s="254"/>
      <c r="P18" s="254"/>
      <c r="Q18" s="255"/>
      <c r="R18" s="254"/>
      <c r="S18" s="255"/>
      <c r="T18" s="258"/>
      <c r="U18" s="258"/>
      <c r="V18" s="255"/>
      <c r="W18" s="258"/>
    </row>
    <row r="19" spans="1:23" ht="33.75" x14ac:dyDescent="0.25">
      <c r="A19" s="223">
        <v>11</v>
      </c>
      <c r="B19" s="81">
        <v>2016</v>
      </c>
      <c r="C19" s="82" t="s">
        <v>83</v>
      </c>
      <c r="D19" s="83">
        <v>86100</v>
      </c>
      <c r="E19" s="84">
        <f>D19-G19</f>
        <v>43050</v>
      </c>
      <c r="F19" s="88">
        <f t="shared" si="0"/>
        <v>0.5</v>
      </c>
      <c r="G19" s="86">
        <v>43050</v>
      </c>
      <c r="H19" s="105">
        <f t="shared" si="1"/>
        <v>0.5</v>
      </c>
      <c r="I19" s="84">
        <v>0</v>
      </c>
      <c r="J19" s="84">
        <v>0</v>
      </c>
      <c r="K19" s="88">
        <f t="shared" si="2"/>
        <v>0</v>
      </c>
      <c r="L19" s="77" t="s">
        <v>14</v>
      </c>
      <c r="O19" s="254"/>
      <c r="P19" s="254"/>
      <c r="Q19" s="255"/>
      <c r="R19" s="254"/>
      <c r="S19" s="255"/>
      <c r="T19" s="258"/>
      <c r="U19" s="258"/>
      <c r="V19" s="255"/>
      <c r="W19" s="258"/>
    </row>
    <row r="20" spans="1:23" ht="33.75" x14ac:dyDescent="0.25">
      <c r="A20" s="286">
        <v>14</v>
      </c>
      <c r="B20" s="97">
        <v>2017</v>
      </c>
      <c r="C20" s="92" t="s">
        <v>84</v>
      </c>
      <c r="D20" s="83">
        <f t="shared" si="3"/>
        <v>4805574.62</v>
      </c>
      <c r="E20" s="84">
        <v>1198107.3</v>
      </c>
      <c r="F20" s="88">
        <f t="shared" si="0"/>
        <v>0.25</v>
      </c>
      <c r="G20" s="86">
        <v>1247009.6399999999</v>
      </c>
      <c r="H20" s="105">
        <f t="shared" si="1"/>
        <v>0.26</v>
      </c>
      <c r="I20" s="84">
        <v>2360457.6800000002</v>
      </c>
      <c r="J20" s="84">
        <v>0</v>
      </c>
      <c r="K20" s="88">
        <f t="shared" si="2"/>
        <v>0.49</v>
      </c>
      <c r="L20" s="236" t="s">
        <v>14</v>
      </c>
      <c r="O20" s="265"/>
      <c r="P20" s="265"/>
      <c r="Q20" s="264"/>
      <c r="R20" s="265"/>
      <c r="S20" s="264"/>
      <c r="T20" s="309"/>
      <c r="U20" s="265"/>
      <c r="V20" s="264"/>
      <c r="W20" s="265"/>
    </row>
    <row r="21" spans="1:23" ht="23.25" customHeight="1" x14ac:dyDescent="0.25">
      <c r="A21" s="215">
        <v>15</v>
      </c>
      <c r="B21" s="97">
        <v>2017</v>
      </c>
      <c r="C21" s="145" t="s">
        <v>85</v>
      </c>
      <c r="D21" s="83">
        <f t="shared" si="3"/>
        <v>2993837.37</v>
      </c>
      <c r="E21" s="84">
        <v>1079668.69</v>
      </c>
      <c r="F21" s="88">
        <f t="shared" si="0"/>
        <v>0.36</v>
      </c>
      <c r="G21" s="86">
        <v>1079668.68</v>
      </c>
      <c r="H21" s="105">
        <f t="shared" si="1"/>
        <v>0.36</v>
      </c>
      <c r="I21" s="84">
        <v>834500</v>
      </c>
      <c r="J21" s="84">
        <v>0</v>
      </c>
      <c r="K21" s="88">
        <f t="shared" si="2"/>
        <v>0.28000000000000003</v>
      </c>
      <c r="L21" s="236" t="s">
        <v>14</v>
      </c>
      <c r="O21" s="260"/>
      <c r="P21" s="260"/>
      <c r="Q21" s="262"/>
      <c r="R21" s="265"/>
      <c r="S21" s="264"/>
      <c r="T21" s="260"/>
      <c r="U21" s="273"/>
      <c r="V21" s="264"/>
      <c r="W21" s="265"/>
    </row>
    <row r="22" spans="1:23" ht="33.75" x14ac:dyDescent="0.25">
      <c r="A22" s="286">
        <v>17</v>
      </c>
      <c r="B22" s="97" t="s">
        <v>457</v>
      </c>
      <c r="C22" s="92" t="s">
        <v>86</v>
      </c>
      <c r="D22" s="83">
        <f t="shared" si="3"/>
        <v>31611</v>
      </c>
      <c r="E22" s="84">
        <f>6580.5+9225</f>
        <v>15805.5</v>
      </c>
      <c r="F22" s="88">
        <f t="shared" si="0"/>
        <v>0.5</v>
      </c>
      <c r="G22" s="86">
        <v>15805.5</v>
      </c>
      <c r="H22" s="105">
        <f t="shared" si="1"/>
        <v>0.5</v>
      </c>
      <c r="I22" s="84">
        <v>0</v>
      </c>
      <c r="J22" s="84">
        <v>0</v>
      </c>
      <c r="K22" s="88">
        <f t="shared" si="2"/>
        <v>0</v>
      </c>
      <c r="L22" s="236" t="s">
        <v>14</v>
      </c>
      <c r="O22" s="265"/>
      <c r="P22" s="265"/>
      <c r="Q22" s="264"/>
      <c r="R22" s="265"/>
      <c r="S22" s="264"/>
      <c r="T22" s="265"/>
      <c r="U22" s="265"/>
      <c r="V22" s="264"/>
      <c r="W22" s="265"/>
    </row>
    <row r="23" spans="1:23" ht="26.25" customHeight="1" x14ac:dyDescent="0.25">
      <c r="A23" s="302">
        <v>18</v>
      </c>
      <c r="B23" s="97">
        <v>2017</v>
      </c>
      <c r="C23" s="92" t="s">
        <v>87</v>
      </c>
      <c r="D23" s="303">
        <v>445267.32</v>
      </c>
      <c r="E23" s="246">
        <v>445267.32</v>
      </c>
      <c r="F23" s="112">
        <v>1</v>
      </c>
      <c r="G23" s="246">
        <v>0</v>
      </c>
      <c r="H23" s="112">
        <v>0</v>
      </c>
      <c r="I23" s="246">
        <v>0</v>
      </c>
      <c r="J23" s="246">
        <v>0</v>
      </c>
      <c r="K23" s="105">
        <v>0</v>
      </c>
      <c r="L23" s="236" t="s">
        <v>14</v>
      </c>
      <c r="M23" s="240"/>
      <c r="O23" s="265"/>
      <c r="P23" s="265"/>
      <c r="Q23" s="264"/>
      <c r="R23" s="265"/>
      <c r="S23" s="264"/>
      <c r="T23" s="265"/>
      <c r="U23" s="265"/>
      <c r="V23" s="264"/>
      <c r="W23" s="265"/>
    </row>
    <row r="24" spans="1:23" ht="33.75" x14ac:dyDescent="0.25">
      <c r="A24" s="286">
        <v>20</v>
      </c>
      <c r="B24" s="97">
        <v>2018</v>
      </c>
      <c r="C24" s="92" t="s">
        <v>88</v>
      </c>
      <c r="D24" s="83">
        <f t="shared" si="3"/>
        <v>2983765.71</v>
      </c>
      <c r="E24" s="84">
        <v>644512.86</v>
      </c>
      <c r="F24" s="88">
        <f t="shared" si="0"/>
        <v>0.22</v>
      </c>
      <c r="G24" s="86">
        <v>644512.85</v>
      </c>
      <c r="H24" s="105">
        <f t="shared" si="1"/>
        <v>0.22</v>
      </c>
      <c r="I24" s="84">
        <v>1694740</v>
      </c>
      <c r="J24" s="84">
        <v>0</v>
      </c>
      <c r="K24" s="88">
        <f t="shared" si="2"/>
        <v>0.56999999999999995</v>
      </c>
      <c r="L24" s="236" t="s">
        <v>14</v>
      </c>
      <c r="O24" s="265"/>
      <c r="P24" s="265"/>
      <c r="Q24" s="264"/>
      <c r="R24" s="265"/>
      <c r="S24" s="264"/>
      <c r="T24" s="265"/>
      <c r="U24" s="265"/>
      <c r="V24" s="264"/>
      <c r="W24" s="265"/>
    </row>
    <row r="25" spans="1:23" ht="33.75" x14ac:dyDescent="0.25">
      <c r="A25" s="286">
        <v>21</v>
      </c>
      <c r="B25" s="97">
        <v>2018</v>
      </c>
      <c r="C25" s="92" t="s">
        <v>89</v>
      </c>
      <c r="D25" s="83">
        <f t="shared" si="3"/>
        <v>72939</v>
      </c>
      <c r="E25" s="84">
        <v>36469.5</v>
      </c>
      <c r="F25" s="88">
        <f t="shared" si="0"/>
        <v>0.5</v>
      </c>
      <c r="G25" s="86">
        <v>36469.5</v>
      </c>
      <c r="H25" s="105">
        <f t="shared" si="1"/>
        <v>0.5</v>
      </c>
      <c r="I25" s="84">
        <v>0</v>
      </c>
      <c r="J25" s="84">
        <v>0</v>
      </c>
      <c r="K25" s="88">
        <f t="shared" si="2"/>
        <v>0</v>
      </c>
      <c r="L25" s="236" t="s">
        <v>14</v>
      </c>
      <c r="O25" s="265"/>
      <c r="P25" s="265"/>
      <c r="Q25" s="264"/>
      <c r="R25" s="265"/>
      <c r="S25" s="264"/>
      <c r="T25" s="265"/>
      <c r="U25" s="265"/>
      <c r="V25" s="264"/>
      <c r="W25" s="265"/>
    </row>
    <row r="26" spans="1:23" ht="22.5" x14ac:dyDescent="0.25">
      <c r="A26" s="286">
        <v>22</v>
      </c>
      <c r="B26" s="97">
        <v>2018</v>
      </c>
      <c r="C26" s="92" t="s">
        <v>90</v>
      </c>
      <c r="D26" s="83">
        <f t="shared" si="3"/>
        <v>1245165.72</v>
      </c>
      <c r="E26" s="84">
        <v>622582.86</v>
      </c>
      <c r="F26" s="88">
        <f t="shared" si="0"/>
        <v>0.5</v>
      </c>
      <c r="G26" s="86">
        <v>622582.86</v>
      </c>
      <c r="H26" s="105">
        <f t="shared" si="1"/>
        <v>0.5</v>
      </c>
      <c r="I26" s="84">
        <v>0</v>
      </c>
      <c r="J26" s="84">
        <v>0</v>
      </c>
      <c r="K26" s="88">
        <f t="shared" si="2"/>
        <v>0</v>
      </c>
      <c r="L26" s="236" t="s">
        <v>14</v>
      </c>
      <c r="O26" s="265"/>
      <c r="P26" s="265"/>
      <c r="Q26" s="264"/>
      <c r="R26" s="265"/>
      <c r="S26" s="264"/>
      <c r="T26" s="265"/>
      <c r="U26" s="265"/>
      <c r="V26" s="264"/>
      <c r="W26" s="265"/>
    </row>
    <row r="27" spans="1:23" ht="22.5" x14ac:dyDescent="0.25">
      <c r="A27" s="286">
        <v>23</v>
      </c>
      <c r="B27" s="97">
        <v>2018</v>
      </c>
      <c r="C27" s="92" t="s">
        <v>91</v>
      </c>
      <c r="D27" s="83">
        <f t="shared" si="3"/>
        <v>4936096.8600000003</v>
      </c>
      <c r="E27" s="84">
        <v>2468048.4300000002</v>
      </c>
      <c r="F27" s="88">
        <f t="shared" si="0"/>
        <v>0.5</v>
      </c>
      <c r="G27" s="86">
        <v>2468048.4300000002</v>
      </c>
      <c r="H27" s="105">
        <f t="shared" si="1"/>
        <v>0.5</v>
      </c>
      <c r="I27" s="84">
        <v>0</v>
      </c>
      <c r="J27" s="84">
        <v>0</v>
      </c>
      <c r="K27" s="88">
        <f t="shared" si="2"/>
        <v>0</v>
      </c>
      <c r="L27" s="236" t="s">
        <v>14</v>
      </c>
      <c r="O27" s="265"/>
      <c r="P27" s="265"/>
      <c r="Q27" s="264"/>
      <c r="R27" s="265"/>
      <c r="S27" s="264"/>
      <c r="T27" s="265"/>
      <c r="U27" s="265"/>
      <c r="V27" s="264"/>
      <c r="W27" s="265"/>
    </row>
    <row r="28" spans="1:23" ht="33.75" x14ac:dyDescent="0.25">
      <c r="A28" s="215">
        <v>1</v>
      </c>
      <c r="B28" s="97">
        <v>2019</v>
      </c>
      <c r="C28" s="92" t="s">
        <v>271</v>
      </c>
      <c r="D28" s="83">
        <f t="shared" si="3"/>
        <v>17835</v>
      </c>
      <c r="E28" s="84">
        <v>17835</v>
      </c>
      <c r="F28" s="88">
        <f t="shared" si="0"/>
        <v>1</v>
      </c>
      <c r="G28" s="86">
        <v>0</v>
      </c>
      <c r="H28" s="105">
        <f t="shared" si="1"/>
        <v>0</v>
      </c>
      <c r="I28" s="84">
        <v>0</v>
      </c>
      <c r="J28" s="84">
        <v>0</v>
      </c>
      <c r="K28" s="88">
        <f t="shared" si="2"/>
        <v>0</v>
      </c>
      <c r="L28" s="235" t="s">
        <v>14</v>
      </c>
      <c r="O28" s="260"/>
      <c r="P28" s="260"/>
      <c r="Q28" s="262"/>
      <c r="R28" s="265"/>
      <c r="S28" s="264"/>
      <c r="T28" s="260"/>
      <c r="U28" s="260"/>
      <c r="V28" s="262"/>
      <c r="W28" s="260"/>
    </row>
    <row r="29" spans="1:23" ht="56.25" x14ac:dyDescent="0.25">
      <c r="A29" s="216">
        <v>2</v>
      </c>
      <c r="B29" s="119">
        <v>2019</v>
      </c>
      <c r="C29" s="28" t="s">
        <v>272</v>
      </c>
      <c r="D29" s="47">
        <f t="shared" si="3"/>
        <v>176136</v>
      </c>
      <c r="E29" s="48">
        <v>176136</v>
      </c>
      <c r="F29" s="35">
        <f t="shared" si="0"/>
        <v>1</v>
      </c>
      <c r="G29" s="49">
        <v>0</v>
      </c>
      <c r="H29" s="40">
        <f t="shared" si="1"/>
        <v>0</v>
      </c>
      <c r="I29" s="48">
        <v>0</v>
      </c>
      <c r="J29" s="48">
        <v>0</v>
      </c>
      <c r="K29" s="35">
        <f t="shared" si="2"/>
        <v>0</v>
      </c>
      <c r="L29" s="235" t="s">
        <v>14</v>
      </c>
      <c r="O29" s="248"/>
      <c r="P29" s="248"/>
      <c r="Q29" s="249"/>
      <c r="R29" s="250"/>
      <c r="S29" s="251"/>
      <c r="T29" s="252"/>
      <c r="U29" s="248"/>
      <c r="V29" s="249"/>
      <c r="W29" s="248"/>
    </row>
    <row r="30" spans="1:23" ht="33.75" x14ac:dyDescent="0.25">
      <c r="A30" s="209">
        <v>3</v>
      </c>
      <c r="B30" s="81">
        <v>2020</v>
      </c>
      <c r="C30" s="82" t="s">
        <v>273</v>
      </c>
      <c r="D30" s="83">
        <f t="shared" si="3"/>
        <v>5188825.12</v>
      </c>
      <c r="E30" s="84">
        <v>1320068.54</v>
      </c>
      <c r="F30" s="88">
        <f t="shared" si="0"/>
        <v>0.25</v>
      </c>
      <c r="G30" s="86">
        <f>667238.43+652830.11</f>
        <v>1320068.54</v>
      </c>
      <c r="H30" s="105">
        <f t="shared" si="1"/>
        <v>0.25</v>
      </c>
      <c r="I30" s="84">
        <v>2548688.04</v>
      </c>
      <c r="J30" s="84">
        <v>0</v>
      </c>
      <c r="K30" s="88">
        <f t="shared" si="2"/>
        <v>0.49</v>
      </c>
      <c r="L30" s="77" t="s">
        <v>14</v>
      </c>
      <c r="O30" s="254"/>
      <c r="P30" s="254"/>
      <c r="Q30" s="255"/>
      <c r="R30" s="254"/>
      <c r="S30" s="255"/>
      <c r="T30" s="254"/>
      <c r="U30" s="258"/>
      <c r="V30" s="255"/>
      <c r="W30" s="258"/>
    </row>
    <row r="31" spans="1:23" ht="45" x14ac:dyDescent="0.25">
      <c r="A31" s="209">
        <v>4</v>
      </c>
      <c r="B31" s="81">
        <v>2020</v>
      </c>
      <c r="C31" s="82" t="s">
        <v>274</v>
      </c>
      <c r="D31" s="83">
        <f t="shared" si="3"/>
        <v>18204</v>
      </c>
      <c r="E31" s="84">
        <v>9102</v>
      </c>
      <c r="F31" s="88">
        <f t="shared" si="0"/>
        <v>0.5</v>
      </c>
      <c r="G31" s="86">
        <v>9102</v>
      </c>
      <c r="H31" s="105">
        <f t="shared" si="1"/>
        <v>0.5</v>
      </c>
      <c r="I31" s="84">
        <v>0</v>
      </c>
      <c r="J31" s="84">
        <v>0</v>
      </c>
      <c r="K31" s="88">
        <f t="shared" si="2"/>
        <v>0</v>
      </c>
      <c r="L31" s="77" t="s">
        <v>14</v>
      </c>
      <c r="O31" s="254"/>
      <c r="P31" s="254"/>
      <c r="Q31" s="255"/>
      <c r="R31" s="254"/>
      <c r="S31" s="255"/>
      <c r="T31" s="258"/>
      <c r="U31" s="258"/>
      <c r="V31" s="255"/>
      <c r="W31" s="258"/>
    </row>
    <row r="32" spans="1:23" ht="33.75" x14ac:dyDescent="0.25">
      <c r="A32" s="209">
        <v>5</v>
      </c>
      <c r="B32" s="81" t="s">
        <v>461</v>
      </c>
      <c r="C32" s="82" t="s">
        <v>275</v>
      </c>
      <c r="D32" s="83">
        <f t="shared" si="3"/>
        <v>29397</v>
      </c>
      <c r="E32" s="84">
        <f>7933.5+7380-615</f>
        <v>14698.5</v>
      </c>
      <c r="F32" s="88">
        <f t="shared" si="0"/>
        <v>0.5</v>
      </c>
      <c r="G32" s="86">
        <f>15313.5-615</f>
        <v>14698.5</v>
      </c>
      <c r="H32" s="105">
        <f t="shared" si="1"/>
        <v>0.5</v>
      </c>
      <c r="I32" s="84">
        <v>0</v>
      </c>
      <c r="J32" s="84">
        <v>0</v>
      </c>
      <c r="K32" s="88">
        <f t="shared" si="2"/>
        <v>0</v>
      </c>
      <c r="L32" s="77" t="s">
        <v>14</v>
      </c>
      <c r="M32" s="115"/>
      <c r="O32" s="254"/>
      <c r="P32" s="254"/>
      <c r="Q32" s="255"/>
      <c r="R32" s="254"/>
      <c r="S32" s="255"/>
      <c r="T32" s="258"/>
      <c r="U32" s="254"/>
      <c r="V32" s="255"/>
      <c r="W32" s="258"/>
    </row>
    <row r="33" spans="1:23" ht="72.75" customHeight="1" x14ac:dyDescent="0.25">
      <c r="A33" s="216">
        <v>17</v>
      </c>
      <c r="B33" s="286">
        <v>2021</v>
      </c>
      <c r="C33" s="145" t="s">
        <v>512</v>
      </c>
      <c r="D33" s="137">
        <f>E33+G33+I33+J33+N33</f>
        <v>6310590.71</v>
      </c>
      <c r="E33" s="93">
        <f>3160942.24/2</f>
        <v>1580471.12</v>
      </c>
      <c r="F33" s="207">
        <f>E33/D33</f>
        <v>0.25</v>
      </c>
      <c r="G33" s="94">
        <f>3160942.24/2</f>
        <v>1580471.12</v>
      </c>
      <c r="H33" s="210">
        <f>G33/D33</f>
        <v>0.25</v>
      </c>
      <c r="I33" s="93">
        <f>6299296.94/2</f>
        <v>3149648.47</v>
      </c>
      <c r="J33" s="93"/>
      <c r="K33" s="230">
        <f>(J33+I33)/D33</f>
        <v>0.5</v>
      </c>
      <c r="L33" s="304" t="s">
        <v>14</v>
      </c>
      <c r="O33" s="254"/>
      <c r="P33" s="254"/>
      <c r="Q33" s="255"/>
      <c r="R33" s="254"/>
      <c r="S33" s="255"/>
      <c r="T33" s="254"/>
      <c r="U33" s="254"/>
      <c r="V33" s="255"/>
      <c r="W33" s="258"/>
    </row>
    <row r="34" spans="1:23" ht="22.5" x14ac:dyDescent="0.25">
      <c r="A34" s="209">
        <v>6</v>
      </c>
      <c r="B34" s="81">
        <v>2021</v>
      </c>
      <c r="C34" s="82" t="s">
        <v>276</v>
      </c>
      <c r="D34" s="83">
        <f t="shared" si="3"/>
        <v>1623068.43</v>
      </c>
      <c r="E34" s="84">
        <f>357164.61+60000+1470</f>
        <v>418634.61</v>
      </c>
      <c r="F34" s="88">
        <f t="shared" si="0"/>
        <v>0.26</v>
      </c>
      <c r="G34" s="86">
        <v>418634.61</v>
      </c>
      <c r="H34" s="105">
        <f t="shared" si="1"/>
        <v>0.26</v>
      </c>
      <c r="I34" s="84">
        <v>785799.21</v>
      </c>
      <c r="J34" s="84">
        <v>0</v>
      </c>
      <c r="K34" s="88">
        <f t="shared" si="2"/>
        <v>0.48</v>
      </c>
      <c r="L34" s="77" t="s">
        <v>14</v>
      </c>
      <c r="O34" s="265"/>
      <c r="P34" s="265"/>
      <c r="Q34" s="264"/>
      <c r="R34" s="265"/>
      <c r="S34" s="264"/>
      <c r="T34" s="265"/>
      <c r="U34" s="265"/>
      <c r="V34" s="264"/>
      <c r="W34" s="265"/>
    </row>
    <row r="35" spans="1:23" ht="22.5" x14ac:dyDescent="0.25">
      <c r="A35" s="286">
        <v>7</v>
      </c>
      <c r="B35" s="97">
        <v>2021</v>
      </c>
      <c r="C35" s="92" t="s">
        <v>277</v>
      </c>
      <c r="D35" s="83">
        <f t="shared" si="3"/>
        <v>2335785.75</v>
      </c>
      <c r="E35" s="84">
        <f>677975.13+1470</f>
        <v>679445.13</v>
      </c>
      <c r="F35" s="88">
        <f t="shared" si="0"/>
        <v>0.28999999999999998</v>
      </c>
      <c r="G35" s="86">
        <v>678206.39</v>
      </c>
      <c r="H35" s="105">
        <f t="shared" si="1"/>
        <v>0.28999999999999998</v>
      </c>
      <c r="I35" s="84">
        <v>978134.23</v>
      </c>
      <c r="J35" s="84">
        <v>0</v>
      </c>
      <c r="K35" s="88">
        <f t="shared" si="2"/>
        <v>0.42</v>
      </c>
      <c r="L35" s="236" t="s">
        <v>14</v>
      </c>
      <c r="O35" s="265"/>
      <c r="P35" s="265"/>
      <c r="Q35" s="264"/>
      <c r="R35" s="265"/>
      <c r="S35" s="264"/>
      <c r="T35" s="265"/>
      <c r="U35" s="265"/>
      <c r="V35" s="264"/>
      <c r="W35" s="265"/>
    </row>
    <row r="36" spans="1:23" ht="33.75" x14ac:dyDescent="0.25">
      <c r="A36" s="286">
        <v>8</v>
      </c>
      <c r="B36" s="97">
        <v>2021</v>
      </c>
      <c r="C36" s="92" t="s">
        <v>500</v>
      </c>
      <c r="D36" s="83">
        <v>8302.5</v>
      </c>
      <c r="E36" s="84">
        <v>8302.5</v>
      </c>
      <c r="F36" s="88">
        <f t="shared" ref="F36" si="7">E36/D36</f>
        <v>1</v>
      </c>
      <c r="G36" s="86">
        <v>0</v>
      </c>
      <c r="H36" s="105">
        <f t="shared" ref="H36" si="8">G36/D36</f>
        <v>0</v>
      </c>
      <c r="I36" s="84">
        <v>0</v>
      </c>
      <c r="J36" s="84">
        <v>0</v>
      </c>
      <c r="K36" s="88">
        <f t="shared" ref="K36" si="9">(I36+J36)/D36</f>
        <v>0</v>
      </c>
      <c r="L36" s="236" t="s">
        <v>14</v>
      </c>
      <c r="O36" s="265"/>
      <c r="P36" s="265"/>
      <c r="Q36" s="264"/>
      <c r="R36" s="265"/>
      <c r="S36" s="264"/>
      <c r="T36" s="265"/>
      <c r="U36" s="265"/>
      <c r="V36" s="264"/>
      <c r="W36" s="265"/>
    </row>
    <row r="37" spans="1:23" ht="33.75" x14ac:dyDescent="0.25">
      <c r="A37" s="286">
        <v>8</v>
      </c>
      <c r="B37" s="97">
        <v>2021</v>
      </c>
      <c r="C37" s="92" t="s">
        <v>278</v>
      </c>
      <c r="D37" s="83">
        <f t="shared" si="3"/>
        <v>98059.29</v>
      </c>
      <c r="E37" s="84">
        <v>49029.65</v>
      </c>
      <c r="F37" s="88">
        <f t="shared" si="0"/>
        <v>0.5</v>
      </c>
      <c r="G37" s="86">
        <v>49029.64</v>
      </c>
      <c r="H37" s="105">
        <f t="shared" si="1"/>
        <v>0.5</v>
      </c>
      <c r="I37" s="84">
        <v>0</v>
      </c>
      <c r="J37" s="84">
        <v>0</v>
      </c>
      <c r="K37" s="88">
        <f t="shared" si="2"/>
        <v>0</v>
      </c>
      <c r="L37" s="236" t="s">
        <v>14</v>
      </c>
      <c r="M37" s="115"/>
      <c r="O37" s="265"/>
      <c r="P37" s="265"/>
      <c r="Q37" s="264"/>
      <c r="R37" s="265"/>
      <c r="S37" s="264"/>
      <c r="T37" s="265"/>
      <c r="U37" s="265"/>
      <c r="V37" s="264"/>
      <c r="W37" s="265"/>
    </row>
    <row r="38" spans="1:23" ht="33.75" x14ac:dyDescent="0.25">
      <c r="A38" s="286">
        <v>9</v>
      </c>
      <c r="B38" s="97">
        <v>2021</v>
      </c>
      <c r="C38" s="92" t="s">
        <v>279</v>
      </c>
      <c r="D38" s="83">
        <f t="shared" si="3"/>
        <v>70110</v>
      </c>
      <c r="E38" s="84">
        <v>35055</v>
      </c>
      <c r="F38" s="88">
        <f t="shared" si="0"/>
        <v>0.5</v>
      </c>
      <c r="G38" s="86">
        <v>35055</v>
      </c>
      <c r="H38" s="105">
        <f t="shared" si="1"/>
        <v>0.5</v>
      </c>
      <c r="I38" s="84">
        <v>0</v>
      </c>
      <c r="J38" s="84">
        <v>0</v>
      </c>
      <c r="K38" s="88">
        <f t="shared" si="2"/>
        <v>0</v>
      </c>
      <c r="L38" s="236" t="s">
        <v>14</v>
      </c>
      <c r="O38" s="265"/>
      <c r="P38" s="265"/>
      <c r="Q38" s="264"/>
      <c r="R38" s="265"/>
      <c r="S38" s="264"/>
      <c r="T38" s="265"/>
      <c r="U38" s="265"/>
      <c r="V38" s="264"/>
      <c r="W38" s="265"/>
    </row>
    <row r="39" spans="1:23" ht="33.75" x14ac:dyDescent="0.25">
      <c r="A39" s="305">
        <v>10</v>
      </c>
      <c r="B39" s="97" t="s">
        <v>461</v>
      </c>
      <c r="C39" s="92" t="s">
        <v>280</v>
      </c>
      <c r="D39" s="83">
        <f t="shared" si="3"/>
        <v>17712</v>
      </c>
      <c r="E39" s="84">
        <v>8856</v>
      </c>
      <c r="F39" s="88">
        <f t="shared" si="0"/>
        <v>0.5</v>
      </c>
      <c r="G39" s="86">
        <v>8856</v>
      </c>
      <c r="H39" s="105">
        <f t="shared" si="1"/>
        <v>0.5</v>
      </c>
      <c r="I39" s="84">
        <v>0</v>
      </c>
      <c r="J39" s="84">
        <v>0</v>
      </c>
      <c r="K39" s="88">
        <f t="shared" si="2"/>
        <v>0</v>
      </c>
      <c r="L39" s="236" t="s">
        <v>14</v>
      </c>
      <c r="M39" s="136"/>
      <c r="O39" s="260"/>
      <c r="P39" s="260"/>
      <c r="Q39" s="262"/>
      <c r="R39" s="265"/>
      <c r="S39" s="264"/>
      <c r="T39" s="260"/>
      <c r="U39" s="260"/>
      <c r="V39" s="262"/>
      <c r="W39" s="260"/>
    </row>
    <row r="40" spans="1:23" ht="33.75" x14ac:dyDescent="0.25">
      <c r="A40" s="215">
        <v>11</v>
      </c>
      <c r="B40" s="97">
        <v>2021</v>
      </c>
      <c r="C40" s="92" t="s">
        <v>281</v>
      </c>
      <c r="D40" s="83">
        <f t="shared" si="3"/>
        <v>6309855.5899999999</v>
      </c>
      <c r="E40" s="84">
        <f>579736+1000000</f>
        <v>1579736</v>
      </c>
      <c r="F40" s="88">
        <f t="shared" si="0"/>
        <v>0.25</v>
      </c>
      <c r="G40" s="86">
        <v>1580471.12</v>
      </c>
      <c r="H40" s="105">
        <f t="shared" si="1"/>
        <v>0.25</v>
      </c>
      <c r="I40" s="84">
        <f>6299296.94/2</f>
        <v>3149648.47</v>
      </c>
      <c r="J40" s="84">
        <v>0</v>
      </c>
      <c r="K40" s="88">
        <f t="shared" si="2"/>
        <v>0.5</v>
      </c>
      <c r="L40" s="236" t="s">
        <v>14</v>
      </c>
      <c r="M40" s="115"/>
      <c r="O40" s="265"/>
      <c r="P40" s="265"/>
      <c r="Q40" s="264"/>
      <c r="R40" s="265"/>
      <c r="S40" s="264"/>
      <c r="T40" s="265"/>
      <c r="U40" s="265"/>
      <c r="V40" s="264"/>
      <c r="W40" s="265"/>
    </row>
    <row r="41" spans="1:23" ht="67.5" x14ac:dyDescent="0.25">
      <c r="A41" s="286">
        <v>12</v>
      </c>
      <c r="B41" s="97">
        <v>2022</v>
      </c>
      <c r="C41" s="92" t="s">
        <v>282</v>
      </c>
      <c r="D41" s="83">
        <f t="shared" si="3"/>
        <v>4832750.41</v>
      </c>
      <c r="E41" s="84">
        <v>1338232.1100000001</v>
      </c>
      <c r="F41" s="88">
        <f t="shared" si="0"/>
        <v>0.28000000000000003</v>
      </c>
      <c r="G41" s="86">
        <v>1338232.1100000001</v>
      </c>
      <c r="H41" s="105">
        <f t="shared" si="1"/>
        <v>0.28000000000000003</v>
      </c>
      <c r="I41" s="84">
        <v>2156286.19</v>
      </c>
      <c r="J41" s="84">
        <v>0</v>
      </c>
      <c r="K41" s="88">
        <f t="shared" si="2"/>
        <v>0.45</v>
      </c>
      <c r="L41" s="236" t="s">
        <v>14</v>
      </c>
      <c r="O41" s="265"/>
      <c r="P41" s="265"/>
      <c r="Q41" s="264"/>
      <c r="R41" s="265"/>
      <c r="S41" s="264"/>
      <c r="T41" s="265"/>
      <c r="U41" s="265"/>
      <c r="V41" s="264"/>
      <c r="W41" s="265"/>
    </row>
    <row r="42" spans="1:23" ht="33.75" x14ac:dyDescent="0.25">
      <c r="A42" s="286">
        <v>13</v>
      </c>
      <c r="B42" s="97">
        <v>2022</v>
      </c>
      <c r="C42" s="92" t="s">
        <v>283</v>
      </c>
      <c r="D42" s="83">
        <f t="shared" si="3"/>
        <v>21438.9</v>
      </c>
      <c r="E42" s="84">
        <v>10719.45</v>
      </c>
      <c r="F42" s="88">
        <f t="shared" si="0"/>
        <v>0.5</v>
      </c>
      <c r="G42" s="86">
        <v>10719.45</v>
      </c>
      <c r="H42" s="105">
        <f t="shared" si="1"/>
        <v>0.5</v>
      </c>
      <c r="I42" s="84">
        <v>0</v>
      </c>
      <c r="J42" s="84">
        <v>0</v>
      </c>
      <c r="K42" s="88">
        <v>0</v>
      </c>
      <c r="L42" s="236" t="s">
        <v>14</v>
      </c>
      <c r="M42" s="115"/>
      <c r="O42" s="265"/>
      <c r="P42" s="265"/>
      <c r="Q42" s="264"/>
      <c r="R42" s="265"/>
      <c r="S42" s="264"/>
      <c r="T42" s="265"/>
      <c r="U42" s="265"/>
      <c r="V42" s="264"/>
      <c r="W42" s="265"/>
    </row>
    <row r="43" spans="1:23" ht="45" x14ac:dyDescent="0.25">
      <c r="A43" s="286">
        <v>14</v>
      </c>
      <c r="B43" s="97" t="s">
        <v>475</v>
      </c>
      <c r="C43" s="145" t="s">
        <v>284</v>
      </c>
      <c r="D43" s="83">
        <f t="shared" si="3"/>
        <v>409467</v>
      </c>
      <c r="E43" s="86">
        <v>204733.5</v>
      </c>
      <c r="F43" s="88">
        <f t="shared" si="0"/>
        <v>0.5</v>
      </c>
      <c r="G43" s="86">
        <v>204733.5</v>
      </c>
      <c r="H43" s="105">
        <f t="shared" si="1"/>
        <v>0.5</v>
      </c>
      <c r="I43" s="84">
        <v>0</v>
      </c>
      <c r="J43" s="84">
        <v>0</v>
      </c>
      <c r="K43" s="88">
        <f t="shared" si="2"/>
        <v>0</v>
      </c>
      <c r="L43" s="236" t="s">
        <v>14</v>
      </c>
      <c r="O43" s="265"/>
      <c r="P43" s="265"/>
      <c r="Q43" s="264"/>
      <c r="R43" s="265"/>
      <c r="S43" s="264"/>
      <c r="T43" s="265"/>
      <c r="U43" s="265"/>
      <c r="V43" s="264"/>
      <c r="W43" s="265"/>
    </row>
    <row r="44" spans="1:23" ht="33.75" x14ac:dyDescent="0.25">
      <c r="A44" s="286">
        <v>15</v>
      </c>
      <c r="B44" s="97">
        <v>2022</v>
      </c>
      <c r="C44" s="92" t="s">
        <v>285</v>
      </c>
      <c r="D44" s="83">
        <f t="shared" si="3"/>
        <v>38130</v>
      </c>
      <c r="E44" s="84">
        <v>19065</v>
      </c>
      <c r="F44" s="88">
        <f t="shared" si="0"/>
        <v>0.5</v>
      </c>
      <c r="G44" s="86">
        <v>19065</v>
      </c>
      <c r="H44" s="105">
        <f t="shared" si="1"/>
        <v>0.5</v>
      </c>
      <c r="I44" s="84">
        <v>0</v>
      </c>
      <c r="J44" s="84">
        <v>0</v>
      </c>
      <c r="K44" s="88">
        <f t="shared" si="2"/>
        <v>0</v>
      </c>
      <c r="L44" s="236" t="s">
        <v>14</v>
      </c>
      <c r="O44" s="265"/>
      <c r="P44" s="265"/>
      <c r="Q44" s="264"/>
      <c r="R44" s="265"/>
      <c r="S44" s="264"/>
      <c r="T44" s="265"/>
      <c r="U44" s="265"/>
      <c r="V44" s="264"/>
      <c r="W44" s="265"/>
    </row>
    <row r="45" spans="1:23" ht="45" x14ac:dyDescent="0.25">
      <c r="A45" s="286">
        <v>16</v>
      </c>
      <c r="B45" s="97" t="s">
        <v>515</v>
      </c>
      <c r="C45" s="145" t="s">
        <v>286</v>
      </c>
      <c r="D45" s="83">
        <f t="shared" si="3"/>
        <v>344400</v>
      </c>
      <c r="E45" s="84">
        <f>15990+150060</f>
        <v>166050</v>
      </c>
      <c r="F45" s="88">
        <f t="shared" si="0"/>
        <v>0.48</v>
      </c>
      <c r="G45" s="86">
        <f>15990+162360</f>
        <v>178350</v>
      </c>
      <c r="H45" s="105">
        <f t="shared" si="1"/>
        <v>0.52</v>
      </c>
      <c r="I45" s="84">
        <v>0</v>
      </c>
      <c r="J45" s="84">
        <v>0</v>
      </c>
      <c r="K45" s="88">
        <f t="shared" si="2"/>
        <v>0</v>
      </c>
      <c r="L45" s="236" t="s">
        <v>14</v>
      </c>
      <c r="O45" s="265"/>
      <c r="P45" s="265"/>
      <c r="Q45" s="264"/>
      <c r="R45" s="265"/>
      <c r="S45" s="264"/>
      <c r="T45" s="265"/>
      <c r="U45" s="265"/>
      <c r="V45" s="264"/>
      <c r="W45" s="265"/>
    </row>
    <row r="46" spans="1:23" ht="22.5" x14ac:dyDescent="0.25">
      <c r="A46" s="286">
        <v>17</v>
      </c>
      <c r="B46" s="97">
        <v>2022</v>
      </c>
      <c r="C46" s="92" t="s">
        <v>287</v>
      </c>
      <c r="D46" s="83">
        <f>E46+G46+I46+J46</f>
        <v>1966633.75</v>
      </c>
      <c r="E46" s="84">
        <v>515029.36</v>
      </c>
      <c r="F46" s="88">
        <f t="shared" si="0"/>
        <v>0.26</v>
      </c>
      <c r="G46" s="86">
        <v>515029.36</v>
      </c>
      <c r="H46" s="105">
        <f t="shared" si="1"/>
        <v>0.26</v>
      </c>
      <c r="I46" s="84">
        <v>936575.03</v>
      </c>
      <c r="J46" s="84">
        <v>0</v>
      </c>
      <c r="K46" s="88">
        <f t="shared" si="2"/>
        <v>0.48</v>
      </c>
      <c r="L46" s="236" t="s">
        <v>14</v>
      </c>
      <c r="M46" s="229"/>
      <c r="O46" s="260"/>
      <c r="P46" s="260"/>
      <c r="Q46" s="262"/>
      <c r="R46" s="265"/>
      <c r="S46" s="264"/>
      <c r="T46" s="260"/>
      <c r="U46" s="265"/>
      <c r="V46" s="264"/>
      <c r="W46" s="265"/>
    </row>
    <row r="47" spans="1:23" ht="22.5" x14ac:dyDescent="0.25">
      <c r="A47" s="215">
        <v>19</v>
      </c>
      <c r="B47" s="97">
        <v>2022</v>
      </c>
      <c r="C47" s="145" t="s">
        <v>288</v>
      </c>
      <c r="D47" s="83">
        <f t="shared" si="3"/>
        <v>39148.44</v>
      </c>
      <c r="E47" s="84">
        <v>39148.44</v>
      </c>
      <c r="F47" s="88">
        <f t="shared" si="0"/>
        <v>1</v>
      </c>
      <c r="G47" s="86">
        <v>0</v>
      </c>
      <c r="H47" s="105">
        <f t="shared" si="1"/>
        <v>0</v>
      </c>
      <c r="I47" s="84">
        <v>0</v>
      </c>
      <c r="J47" s="84">
        <v>0</v>
      </c>
      <c r="K47" s="88">
        <f t="shared" si="2"/>
        <v>0</v>
      </c>
      <c r="L47" s="236" t="s">
        <v>14</v>
      </c>
      <c r="O47" s="260"/>
      <c r="P47" s="260"/>
      <c r="Q47" s="262"/>
      <c r="R47" s="265"/>
      <c r="S47" s="264"/>
      <c r="T47" s="260"/>
      <c r="U47" s="260"/>
      <c r="V47" s="262"/>
      <c r="W47" s="260"/>
    </row>
    <row r="48" spans="1:23" ht="45" x14ac:dyDescent="0.25">
      <c r="A48" s="216">
        <v>20</v>
      </c>
      <c r="B48" s="119">
        <v>2022</v>
      </c>
      <c r="C48" s="92" t="s">
        <v>289</v>
      </c>
      <c r="D48" s="83">
        <f t="shared" si="3"/>
        <v>105927.6</v>
      </c>
      <c r="E48" s="84">
        <v>29839.8</v>
      </c>
      <c r="F48" s="88">
        <f t="shared" si="0"/>
        <v>0.28000000000000003</v>
      </c>
      <c r="G48" s="86">
        <v>29839.8</v>
      </c>
      <c r="H48" s="105">
        <f t="shared" si="1"/>
        <v>0.28000000000000003</v>
      </c>
      <c r="I48" s="84">
        <v>46248</v>
      </c>
      <c r="J48" s="84">
        <v>0</v>
      </c>
      <c r="K48" s="88">
        <f t="shared" si="2"/>
        <v>0.44</v>
      </c>
      <c r="L48" s="235" t="s">
        <v>14</v>
      </c>
      <c r="O48" s="260"/>
      <c r="P48" s="260"/>
      <c r="Q48" s="262"/>
      <c r="R48" s="265"/>
      <c r="S48" s="264"/>
      <c r="T48" s="260"/>
      <c r="U48" s="260"/>
      <c r="V48" s="262"/>
      <c r="W48" s="260"/>
    </row>
    <row r="49" spans="1:23" ht="22.5" x14ac:dyDescent="0.25">
      <c r="A49" s="215">
        <v>21</v>
      </c>
      <c r="B49" s="97" t="s">
        <v>515</v>
      </c>
      <c r="C49" s="92" t="s">
        <v>290</v>
      </c>
      <c r="D49" s="83">
        <f t="shared" si="3"/>
        <v>8929695.7200000007</v>
      </c>
      <c r="E49" s="84">
        <v>2339847.86</v>
      </c>
      <c r="F49" s="88">
        <f t="shared" si="0"/>
        <v>0.26</v>
      </c>
      <c r="G49" s="86">
        <v>2339847.86</v>
      </c>
      <c r="H49" s="105">
        <f t="shared" si="1"/>
        <v>0.26</v>
      </c>
      <c r="I49" s="84">
        <v>4250000</v>
      </c>
      <c r="J49" s="84">
        <v>0</v>
      </c>
      <c r="K49" s="88">
        <f t="shared" si="2"/>
        <v>0.48</v>
      </c>
      <c r="L49" s="235" t="s">
        <v>14</v>
      </c>
      <c r="O49" s="260"/>
      <c r="P49" s="260"/>
      <c r="Q49" s="262"/>
      <c r="R49" s="265"/>
      <c r="S49" s="264"/>
      <c r="T49" s="260"/>
      <c r="U49" s="260"/>
      <c r="V49" s="262"/>
      <c r="W49" s="260"/>
    </row>
    <row r="50" spans="1:23" ht="22.5" x14ac:dyDescent="0.25">
      <c r="A50" s="215">
        <v>22</v>
      </c>
      <c r="B50" s="97" t="s">
        <v>515</v>
      </c>
      <c r="C50" s="92" t="s">
        <v>291</v>
      </c>
      <c r="D50" s="83">
        <f t="shared" si="3"/>
        <v>6900202.0599999996</v>
      </c>
      <c r="E50" s="84">
        <v>2216813.16</v>
      </c>
      <c r="F50" s="88">
        <f t="shared" si="0"/>
        <v>0.32</v>
      </c>
      <c r="G50" s="86">
        <v>2216813.16</v>
      </c>
      <c r="H50" s="105">
        <f t="shared" si="1"/>
        <v>0.32</v>
      </c>
      <c r="I50" s="84">
        <v>2466575.7400000002</v>
      </c>
      <c r="J50" s="84">
        <v>0</v>
      </c>
      <c r="K50" s="88">
        <f t="shared" si="2"/>
        <v>0.36</v>
      </c>
      <c r="L50" s="235" t="s">
        <v>14</v>
      </c>
      <c r="O50" s="260"/>
      <c r="P50" s="260"/>
      <c r="Q50" s="262"/>
      <c r="R50" s="265"/>
      <c r="S50" s="264"/>
      <c r="T50" s="260"/>
      <c r="U50" s="260"/>
      <c r="V50" s="262"/>
      <c r="W50" s="260"/>
    </row>
    <row r="51" spans="1:23" ht="22.5" x14ac:dyDescent="0.25">
      <c r="A51" s="215">
        <v>23</v>
      </c>
      <c r="B51" s="97" t="s">
        <v>515</v>
      </c>
      <c r="C51" s="92" t="s">
        <v>292</v>
      </c>
      <c r="D51" s="83">
        <f t="shared" si="3"/>
        <v>7017243.7000000002</v>
      </c>
      <c r="E51" s="84">
        <v>1886811.11</v>
      </c>
      <c r="F51" s="88">
        <f t="shared" si="0"/>
        <v>0.27</v>
      </c>
      <c r="G51" s="86">
        <v>1886811.1</v>
      </c>
      <c r="H51" s="105">
        <f t="shared" si="1"/>
        <v>0.27</v>
      </c>
      <c r="I51" s="84">
        <v>3243621.49</v>
      </c>
      <c r="J51" s="84">
        <v>0</v>
      </c>
      <c r="K51" s="88">
        <f t="shared" si="2"/>
        <v>0.46</v>
      </c>
      <c r="L51" s="235" t="s">
        <v>14</v>
      </c>
      <c r="O51" s="260"/>
      <c r="P51" s="260"/>
      <c r="Q51" s="262"/>
      <c r="R51" s="265"/>
      <c r="S51" s="264"/>
      <c r="T51" s="260"/>
      <c r="U51" s="260"/>
      <c r="V51" s="262"/>
      <c r="W51" s="260"/>
    </row>
    <row r="52" spans="1:23" ht="22.5" x14ac:dyDescent="0.25">
      <c r="A52" s="215">
        <v>24</v>
      </c>
      <c r="B52" s="97" t="s">
        <v>515</v>
      </c>
      <c r="C52" s="92" t="s">
        <v>293</v>
      </c>
      <c r="D52" s="83">
        <f t="shared" si="3"/>
        <v>2330017.79</v>
      </c>
      <c r="E52" s="84">
        <v>807362</v>
      </c>
      <c r="F52" s="88">
        <f t="shared" si="0"/>
        <v>0.35</v>
      </c>
      <c r="G52" s="86">
        <v>807362</v>
      </c>
      <c r="H52" s="105">
        <f t="shared" si="1"/>
        <v>0.35</v>
      </c>
      <c r="I52" s="84">
        <v>715293.79</v>
      </c>
      <c r="J52" s="84"/>
      <c r="K52" s="88">
        <f t="shared" si="2"/>
        <v>0.31</v>
      </c>
      <c r="L52" s="235" t="s">
        <v>14</v>
      </c>
      <c r="O52" s="72"/>
      <c r="P52" s="72"/>
      <c r="Q52" s="255"/>
      <c r="R52" s="273"/>
      <c r="S52" s="257"/>
      <c r="T52" s="258"/>
      <c r="U52" s="258"/>
      <c r="V52" s="255"/>
      <c r="W52" s="258"/>
    </row>
    <row r="53" spans="1:23" ht="33.75" x14ac:dyDescent="0.25">
      <c r="A53" s="306">
        <v>25</v>
      </c>
      <c r="B53" s="19" t="s">
        <v>517</v>
      </c>
      <c r="C53" s="307" t="s">
        <v>294</v>
      </c>
      <c r="D53" s="83">
        <f t="shared" si="3"/>
        <v>244776.15</v>
      </c>
      <c r="E53" s="84">
        <v>122388.08</v>
      </c>
      <c r="F53" s="88">
        <f t="shared" si="0"/>
        <v>0.5</v>
      </c>
      <c r="G53" s="86">
        <v>122388.07</v>
      </c>
      <c r="H53" s="105">
        <f t="shared" si="1"/>
        <v>0.5</v>
      </c>
      <c r="I53" s="84">
        <v>0</v>
      </c>
      <c r="J53" s="84">
        <v>0</v>
      </c>
      <c r="K53" s="88">
        <f t="shared" si="2"/>
        <v>0</v>
      </c>
      <c r="L53" s="77" t="s">
        <v>14</v>
      </c>
      <c r="M53" s="115"/>
      <c r="O53" s="72"/>
      <c r="P53" s="72"/>
      <c r="Q53" s="255"/>
      <c r="R53" s="273"/>
      <c r="S53" s="257"/>
      <c r="T53" s="258"/>
      <c r="U53" s="258"/>
      <c r="V53" s="255"/>
      <c r="W53" s="259"/>
    </row>
    <row r="54" spans="1:23" ht="33.75" x14ac:dyDescent="0.25">
      <c r="A54" s="209">
        <v>27</v>
      </c>
      <c r="B54" s="81" t="s">
        <v>517</v>
      </c>
      <c r="C54" s="155" t="s">
        <v>295</v>
      </c>
      <c r="D54" s="83">
        <f t="shared" si="3"/>
        <v>396921</v>
      </c>
      <c r="E54" s="84">
        <v>200182.5</v>
      </c>
      <c r="F54" s="88">
        <f t="shared" si="0"/>
        <v>0.5</v>
      </c>
      <c r="G54" s="86">
        <f>19065+48646.5+129027</f>
        <v>196738.5</v>
      </c>
      <c r="H54" s="105">
        <f t="shared" si="1"/>
        <v>0.5</v>
      </c>
      <c r="I54" s="84">
        <v>0</v>
      </c>
      <c r="J54" s="84">
        <v>0</v>
      </c>
      <c r="K54" s="88">
        <f t="shared" si="2"/>
        <v>0</v>
      </c>
      <c r="L54" s="77" t="s">
        <v>14</v>
      </c>
      <c r="M54" s="115"/>
    </row>
    <row r="55" spans="1:23" ht="30.75" customHeight="1" x14ac:dyDescent="0.25">
      <c r="A55" s="209">
        <v>27</v>
      </c>
      <c r="B55" s="81" t="s">
        <v>502</v>
      </c>
      <c r="C55" s="155" t="s">
        <v>416</v>
      </c>
      <c r="D55" s="83">
        <f>E55+G55+I55+J55</f>
        <v>9102544.3699999992</v>
      </c>
      <c r="E55" s="84">
        <v>1987322.94</v>
      </c>
      <c r="F55" s="88">
        <f t="shared" ref="F55" si="10">E55/D55</f>
        <v>0.22</v>
      </c>
      <c r="G55" s="86">
        <v>1977363</v>
      </c>
      <c r="H55" s="105">
        <f t="shared" ref="H55" si="11">G55/D55</f>
        <v>0.22</v>
      </c>
      <c r="I55" s="84">
        <v>5137858.43</v>
      </c>
      <c r="J55" s="84">
        <v>0</v>
      </c>
      <c r="K55" s="88">
        <f t="shared" ref="K55" si="12">(I55+J55)/D55</f>
        <v>0.56000000000000005</v>
      </c>
      <c r="L55" s="77" t="s">
        <v>14</v>
      </c>
    </row>
    <row r="56" spans="1:23" ht="36" customHeight="1" x14ac:dyDescent="0.25">
      <c r="A56" s="209">
        <v>30</v>
      </c>
      <c r="B56" s="81" t="s">
        <v>516</v>
      </c>
      <c r="C56" s="155" t="s">
        <v>417</v>
      </c>
      <c r="D56" s="83">
        <f t="shared" ref="D56:D57" si="13">E56+G56+I56+J56</f>
        <v>2841.3</v>
      </c>
      <c r="E56" s="84">
        <v>1420.65</v>
      </c>
      <c r="F56" s="88">
        <f t="shared" ref="F56:F57" si="14">E56/D56</f>
        <v>0.5</v>
      </c>
      <c r="G56" s="86">
        <v>1420.65</v>
      </c>
      <c r="H56" s="105">
        <f t="shared" ref="H56:H57" si="15">G56/D56</f>
        <v>0.5</v>
      </c>
      <c r="I56" s="84">
        <v>0</v>
      </c>
      <c r="J56" s="84">
        <v>0</v>
      </c>
      <c r="K56" s="88">
        <f t="shared" ref="K56:K57" si="16">(I56+J56)/D56</f>
        <v>0</v>
      </c>
      <c r="L56" s="77" t="s">
        <v>14</v>
      </c>
    </row>
    <row r="57" spans="1:23" ht="33.75" x14ac:dyDescent="0.25">
      <c r="A57" s="209">
        <v>31</v>
      </c>
      <c r="B57" s="81" t="s">
        <v>516</v>
      </c>
      <c r="C57" s="155" t="s">
        <v>418</v>
      </c>
      <c r="D57" s="83">
        <f t="shared" si="13"/>
        <v>213405</v>
      </c>
      <c r="E57" s="84">
        <v>106702.5</v>
      </c>
      <c r="F57" s="88">
        <f t="shared" si="14"/>
        <v>0.5</v>
      </c>
      <c r="G57" s="86">
        <v>106702.5</v>
      </c>
      <c r="H57" s="105">
        <f t="shared" si="15"/>
        <v>0.5</v>
      </c>
      <c r="I57" s="84">
        <v>0</v>
      </c>
      <c r="J57" s="84">
        <v>0</v>
      </c>
      <c r="K57" s="88">
        <f t="shared" si="16"/>
        <v>0</v>
      </c>
      <c r="L57" s="77" t="s">
        <v>14</v>
      </c>
      <c r="M57" s="115"/>
    </row>
    <row r="58" spans="1:23" ht="45" x14ac:dyDescent="0.25">
      <c r="A58" s="209">
        <v>32</v>
      </c>
      <c r="B58" s="81">
        <v>2024</v>
      </c>
      <c r="C58" s="89" t="s">
        <v>419</v>
      </c>
      <c r="D58" s="83">
        <f t="shared" ref="D58" si="17">E58+G58+I58+J58</f>
        <v>8932.8799999999992</v>
      </c>
      <c r="E58" s="84">
        <v>4466.4399999999996</v>
      </c>
      <c r="F58" s="88">
        <f t="shared" ref="F58" si="18">E58/D58</f>
        <v>0.5</v>
      </c>
      <c r="G58" s="86">
        <v>4466.4399999999996</v>
      </c>
      <c r="H58" s="105">
        <f t="shared" ref="H58" si="19">G58/D58</f>
        <v>0.5</v>
      </c>
      <c r="I58" s="84">
        <v>0</v>
      </c>
      <c r="J58" s="84">
        <v>0</v>
      </c>
      <c r="K58" s="88">
        <f t="shared" ref="K58" si="20">(I58+J58)/D58</f>
        <v>0</v>
      </c>
      <c r="L58" s="77" t="s">
        <v>14</v>
      </c>
    </row>
    <row r="59" spans="1:23" ht="56.25" x14ac:dyDescent="0.25">
      <c r="A59" s="209">
        <v>33</v>
      </c>
      <c r="B59" s="81">
        <v>2024</v>
      </c>
      <c r="C59" s="89" t="s">
        <v>420</v>
      </c>
      <c r="D59" s="83">
        <f t="shared" ref="D59:D62" si="21">E59+G59+I59+J59</f>
        <v>4898.4799999999996</v>
      </c>
      <c r="E59" s="84">
        <v>2449.2399999999998</v>
      </c>
      <c r="F59" s="88">
        <f t="shared" ref="F59:F62" si="22">E59/D59</f>
        <v>0.5</v>
      </c>
      <c r="G59" s="86">
        <v>2449.2399999999998</v>
      </c>
      <c r="H59" s="105">
        <f t="shared" ref="H59:H62" si="23">G59/D59</f>
        <v>0.5</v>
      </c>
      <c r="I59" s="84">
        <v>0</v>
      </c>
      <c r="J59" s="84">
        <v>0</v>
      </c>
      <c r="K59" s="88">
        <f t="shared" ref="K59:K62" si="24">(I59+J59)/D59</f>
        <v>0</v>
      </c>
      <c r="L59" s="77" t="s">
        <v>14</v>
      </c>
      <c r="M59" s="115"/>
    </row>
    <row r="60" spans="1:23" ht="78.75" x14ac:dyDescent="0.25">
      <c r="A60" s="209">
        <v>33</v>
      </c>
      <c r="B60" s="81">
        <v>2024</v>
      </c>
      <c r="C60" s="89" t="s">
        <v>481</v>
      </c>
      <c r="D60" s="83">
        <f t="shared" ref="D60" si="25">E60+G60+I60+J60</f>
        <v>494356.68</v>
      </c>
      <c r="E60" s="84">
        <v>74627.740000000005</v>
      </c>
      <c r="F60" s="88">
        <f t="shared" ref="F60" si="26">E60/D60</f>
        <v>0.15</v>
      </c>
      <c r="G60" s="86">
        <v>74344.94</v>
      </c>
      <c r="H60" s="105">
        <f t="shared" ref="H60" si="27">G60/D60</f>
        <v>0.15</v>
      </c>
      <c r="I60" s="84">
        <v>345384</v>
      </c>
      <c r="J60" s="84">
        <v>0</v>
      </c>
      <c r="K60" s="88">
        <f t="shared" ref="K60" si="28">(I60+J60)/D60</f>
        <v>0.7</v>
      </c>
      <c r="L60" s="77" t="s">
        <v>14</v>
      </c>
      <c r="M60" s="115"/>
    </row>
    <row r="61" spans="1:23" ht="78.75" x14ac:dyDescent="0.25">
      <c r="A61" s="209">
        <v>33</v>
      </c>
      <c r="B61" s="81">
        <v>2024</v>
      </c>
      <c r="C61" s="89" t="s">
        <v>482</v>
      </c>
      <c r="D61" s="83">
        <f t="shared" ref="D61" si="29">E61+G61+I61+J61</f>
        <v>136161</v>
      </c>
      <c r="E61" s="84">
        <v>26312.16</v>
      </c>
      <c r="F61" s="88">
        <f t="shared" ref="F61" si="30">E61/D61</f>
        <v>0.19</v>
      </c>
      <c r="G61" s="86">
        <v>26208.84</v>
      </c>
      <c r="H61" s="105">
        <f t="shared" ref="H61" si="31">G61/D61</f>
        <v>0.19</v>
      </c>
      <c r="I61" s="84">
        <v>83640</v>
      </c>
      <c r="J61" s="84">
        <v>0</v>
      </c>
      <c r="K61" s="88">
        <f t="shared" ref="K61" si="32">(I61+J61)/D61</f>
        <v>0.61</v>
      </c>
      <c r="L61" s="77" t="s">
        <v>14</v>
      </c>
    </row>
    <row r="62" spans="1:23" ht="56.25" x14ac:dyDescent="0.25">
      <c r="A62" s="308">
        <v>36</v>
      </c>
      <c r="B62" s="81" t="s">
        <v>502</v>
      </c>
      <c r="C62" s="89" t="s">
        <v>437</v>
      </c>
      <c r="D62" s="83">
        <f t="shared" si="21"/>
        <v>272937</v>
      </c>
      <c r="E62" s="84">
        <f>114697.5+43542</f>
        <v>158239.5</v>
      </c>
      <c r="F62" s="88">
        <f t="shared" si="22"/>
        <v>0.57999999999999996</v>
      </c>
      <c r="G62" s="86">
        <v>114697.5</v>
      </c>
      <c r="H62" s="105">
        <f t="shared" si="23"/>
        <v>0.42</v>
      </c>
      <c r="I62" s="84">
        <v>0</v>
      </c>
      <c r="J62" s="84">
        <v>0</v>
      </c>
      <c r="K62" s="88">
        <f t="shared" si="24"/>
        <v>0</v>
      </c>
      <c r="L62" s="77" t="s">
        <v>14</v>
      </c>
    </row>
    <row r="63" spans="1:23" x14ac:dyDescent="0.25">
      <c r="A63" s="372" t="s">
        <v>34</v>
      </c>
      <c r="B63" s="373"/>
      <c r="C63" s="374"/>
      <c r="D63" s="188">
        <f>SUM(D8:D62)</f>
        <v>90537669.810000002</v>
      </c>
      <c r="E63" s="188">
        <f>SUM(E8:E62)</f>
        <v>28170270.449999999</v>
      </c>
      <c r="F63" s="228">
        <f>E63/D63</f>
        <v>0.31</v>
      </c>
      <c r="G63" s="188">
        <f>SUM(G8:G62)</f>
        <v>27484300.59</v>
      </c>
      <c r="H63" s="190">
        <f>G63/D63</f>
        <v>0.3</v>
      </c>
      <c r="I63" s="188">
        <f>SUM(I8:I62)</f>
        <v>34883098.770000003</v>
      </c>
      <c r="J63" s="188">
        <f>SUM(J8:J62)</f>
        <v>0</v>
      </c>
      <c r="K63" s="189">
        <f>(I63+J63)/D63</f>
        <v>0.39</v>
      </c>
      <c r="L63" s="191"/>
    </row>
    <row r="68" spans="7:7" x14ac:dyDescent="0.25">
      <c r="G68" s="54">
        <f>(38130/2)+(152397/2)</f>
        <v>95263.5</v>
      </c>
    </row>
  </sheetData>
  <mergeCells count="18">
    <mergeCell ref="I5:I6"/>
    <mergeCell ref="J5:J6"/>
    <mergeCell ref="K5:K6"/>
    <mergeCell ref="A63:C63"/>
    <mergeCell ref="L3:L6"/>
    <mergeCell ref="A2:L2"/>
    <mergeCell ref="A3:A6"/>
    <mergeCell ref="B3:B6"/>
    <mergeCell ref="C3:C6"/>
    <mergeCell ref="D3:D6"/>
    <mergeCell ref="E3:K3"/>
    <mergeCell ref="E4:F4"/>
    <mergeCell ref="G4:H4"/>
    <mergeCell ref="I4:K4"/>
    <mergeCell ref="E5:E6"/>
    <mergeCell ref="F5:F6"/>
    <mergeCell ref="G5:G6"/>
    <mergeCell ref="H5:H6"/>
  </mergeCells>
  <phoneticPr fontId="19" type="noConversion"/>
  <pageMargins left="0.7" right="0.7" top="0.75" bottom="0.75" header="0.3" footer="0.3"/>
  <ignoredErrors>
    <ignoredError sqref="D33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W32"/>
  <sheetViews>
    <sheetView topLeftCell="A24" zoomScaleNormal="100" workbookViewId="0">
      <selection activeCell="S30" sqref="S30"/>
    </sheetView>
  </sheetViews>
  <sheetFormatPr defaultRowHeight="15" x14ac:dyDescent="0.25"/>
  <cols>
    <col min="1" max="1" width="9.140625" style="214"/>
    <col min="2" max="2" width="15.5703125" style="50" customWidth="1"/>
    <col min="3" max="3" width="50" customWidth="1"/>
    <col min="4" max="4" width="13.7109375" style="54" customWidth="1"/>
    <col min="5" max="5" width="13.5703125" style="54" customWidth="1"/>
    <col min="6" max="6" width="13.140625" customWidth="1"/>
    <col min="7" max="7" width="13.85546875" style="54" customWidth="1"/>
    <col min="8" max="8" width="12.7109375" customWidth="1"/>
    <col min="9" max="9" width="14.28515625" style="54" customWidth="1"/>
    <col min="10" max="10" width="9.140625" style="54"/>
    <col min="11" max="11" width="14.140625" customWidth="1"/>
    <col min="12" max="12" width="19" style="50" customWidth="1"/>
    <col min="13" max="13" width="16.28515625" customWidth="1"/>
  </cols>
  <sheetData>
    <row r="2" spans="1:23" ht="63" customHeight="1" x14ac:dyDescent="0.25">
      <c r="A2" s="338" t="s">
        <v>311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23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23" ht="35.2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23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23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23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23" ht="33.75" x14ac:dyDescent="0.25">
      <c r="A8" s="215">
        <v>1</v>
      </c>
      <c r="B8" s="97">
        <v>2015</v>
      </c>
      <c r="C8" s="92" t="s">
        <v>92</v>
      </c>
      <c r="D8" s="83">
        <f>E8+G8+I8+J8</f>
        <v>443210.71</v>
      </c>
      <c r="E8" s="84">
        <v>221605.35</v>
      </c>
      <c r="F8" s="88">
        <f>E8/D8</f>
        <v>0.5</v>
      </c>
      <c r="G8" s="86">
        <v>221605.36</v>
      </c>
      <c r="H8" s="105">
        <f>G8/D8</f>
        <v>0.5</v>
      </c>
      <c r="I8" s="84">
        <v>0</v>
      </c>
      <c r="J8" s="84">
        <v>0</v>
      </c>
      <c r="K8" s="88">
        <f>(I8+J8)/D8</f>
        <v>0</v>
      </c>
      <c r="L8" s="235" t="s">
        <v>14</v>
      </c>
      <c r="O8" s="260"/>
      <c r="P8" s="260"/>
      <c r="Q8" s="262"/>
      <c r="R8" s="265"/>
      <c r="S8" s="264"/>
      <c r="T8" s="260"/>
      <c r="U8" s="260"/>
      <c r="V8" s="262"/>
      <c r="W8" s="260"/>
    </row>
    <row r="9" spans="1:23" ht="29.25" customHeight="1" x14ac:dyDescent="0.25">
      <c r="A9" s="215">
        <v>2</v>
      </c>
      <c r="B9" s="97">
        <v>2016</v>
      </c>
      <c r="C9" s="92" t="s">
        <v>93</v>
      </c>
      <c r="D9" s="83">
        <f t="shared" ref="D9:D31" si="0">E9+G9+I9+J9</f>
        <v>2377833.58</v>
      </c>
      <c r="E9" s="84">
        <v>616701.29</v>
      </c>
      <c r="F9" s="88">
        <f t="shared" ref="F9:F31" si="1">E9/D9</f>
        <v>0.26</v>
      </c>
      <c r="G9" s="86">
        <v>616701.29</v>
      </c>
      <c r="H9" s="105">
        <f t="shared" ref="H9:H31" si="2">G9/D9</f>
        <v>0.26</v>
      </c>
      <c r="I9" s="84">
        <v>1144431</v>
      </c>
      <c r="J9" s="84">
        <v>0</v>
      </c>
      <c r="K9" s="88">
        <f t="shared" ref="K9:K31" si="3">(I9+J9)/D9</f>
        <v>0.48</v>
      </c>
      <c r="L9" s="235" t="s">
        <v>14</v>
      </c>
      <c r="O9" s="248"/>
      <c r="P9" s="248"/>
      <c r="Q9" s="249"/>
      <c r="R9" s="248"/>
      <c r="S9" s="249"/>
      <c r="T9" s="248"/>
      <c r="U9" s="72"/>
      <c r="V9" s="262"/>
      <c r="W9" s="260"/>
    </row>
    <row r="10" spans="1:23" ht="60" customHeight="1" x14ac:dyDescent="0.25">
      <c r="A10" s="216">
        <v>3</v>
      </c>
      <c r="B10" s="119">
        <v>2016</v>
      </c>
      <c r="C10" s="92" t="s">
        <v>94</v>
      </c>
      <c r="D10" s="83">
        <v>275283.5</v>
      </c>
      <c r="E10" s="84">
        <f>D10-G10</f>
        <v>137641.75</v>
      </c>
      <c r="F10" s="88">
        <f t="shared" si="1"/>
        <v>0.5</v>
      </c>
      <c r="G10" s="86">
        <v>137641.75</v>
      </c>
      <c r="H10" s="105">
        <f t="shared" si="2"/>
        <v>0.5</v>
      </c>
      <c r="I10" s="84">
        <v>0</v>
      </c>
      <c r="J10" s="84">
        <v>0</v>
      </c>
      <c r="K10" s="88">
        <f t="shared" si="3"/>
        <v>0</v>
      </c>
      <c r="L10" s="235" t="s">
        <v>14</v>
      </c>
      <c r="O10" s="260"/>
      <c r="P10" s="260"/>
      <c r="Q10" s="262"/>
      <c r="R10" s="265"/>
      <c r="S10" s="264"/>
      <c r="T10" s="260"/>
      <c r="U10" s="260"/>
      <c r="V10" s="262"/>
      <c r="W10" s="260"/>
    </row>
    <row r="11" spans="1:23" ht="33.75" x14ac:dyDescent="0.25">
      <c r="A11" s="215">
        <v>4</v>
      </c>
      <c r="B11" s="97">
        <v>2017</v>
      </c>
      <c r="C11" s="92" t="s">
        <v>95</v>
      </c>
      <c r="D11" s="83">
        <f t="shared" si="0"/>
        <v>129999.87</v>
      </c>
      <c r="E11" s="84">
        <v>129999.87</v>
      </c>
      <c r="F11" s="88">
        <f t="shared" si="1"/>
        <v>1</v>
      </c>
      <c r="G11" s="86">
        <v>0</v>
      </c>
      <c r="H11" s="105">
        <f t="shared" si="2"/>
        <v>0</v>
      </c>
      <c r="I11" s="84">
        <v>0</v>
      </c>
      <c r="J11" s="84">
        <v>0</v>
      </c>
      <c r="K11" s="88">
        <f t="shared" si="3"/>
        <v>0</v>
      </c>
      <c r="L11" s="235" t="s">
        <v>14</v>
      </c>
      <c r="O11" s="260"/>
      <c r="P11" s="260"/>
      <c r="Q11" s="262"/>
      <c r="R11" s="265"/>
      <c r="S11" s="264"/>
      <c r="T11" s="260"/>
      <c r="U11" s="260"/>
      <c r="V11" s="262"/>
      <c r="W11" s="260"/>
    </row>
    <row r="12" spans="1:23" ht="22.5" x14ac:dyDescent="0.25">
      <c r="A12" s="215">
        <v>6</v>
      </c>
      <c r="B12" s="97">
        <v>2018</v>
      </c>
      <c r="C12" s="92" t="s">
        <v>96</v>
      </c>
      <c r="D12" s="83">
        <f t="shared" si="0"/>
        <v>3013789.47</v>
      </c>
      <c r="E12" s="84">
        <v>1480614.74</v>
      </c>
      <c r="F12" s="88">
        <f t="shared" si="1"/>
        <v>0.49</v>
      </c>
      <c r="G12" s="86">
        <v>1480614.73</v>
      </c>
      <c r="H12" s="105">
        <f t="shared" si="2"/>
        <v>0.49</v>
      </c>
      <c r="I12" s="84">
        <v>52560</v>
      </c>
      <c r="J12" s="84">
        <v>0</v>
      </c>
      <c r="K12" s="88">
        <f t="shared" si="3"/>
        <v>0.02</v>
      </c>
      <c r="L12" s="235" t="s">
        <v>14</v>
      </c>
      <c r="O12" s="260"/>
      <c r="P12" s="260"/>
      <c r="Q12" s="262"/>
      <c r="R12" s="265"/>
      <c r="S12" s="264"/>
      <c r="T12" s="260"/>
      <c r="U12" s="260"/>
      <c r="V12" s="262"/>
      <c r="W12" s="260"/>
    </row>
    <row r="13" spans="1:23" ht="36.75" customHeight="1" x14ac:dyDescent="0.25">
      <c r="A13" s="215">
        <v>7</v>
      </c>
      <c r="B13" s="97">
        <v>2018</v>
      </c>
      <c r="C13" s="92" t="s">
        <v>97</v>
      </c>
      <c r="D13" s="83">
        <f t="shared" si="0"/>
        <v>1835693.71</v>
      </c>
      <c r="E13" s="84">
        <v>917846.86</v>
      </c>
      <c r="F13" s="88">
        <f t="shared" si="1"/>
        <v>0.5</v>
      </c>
      <c r="G13" s="86">
        <v>917846.85</v>
      </c>
      <c r="H13" s="105">
        <f t="shared" si="2"/>
        <v>0.5</v>
      </c>
      <c r="I13" s="84">
        <v>0</v>
      </c>
      <c r="J13" s="84">
        <v>0</v>
      </c>
      <c r="K13" s="88">
        <f t="shared" si="3"/>
        <v>0</v>
      </c>
      <c r="L13" s="235" t="s">
        <v>14</v>
      </c>
      <c r="O13" s="260"/>
      <c r="P13" s="260"/>
      <c r="Q13" s="262"/>
      <c r="R13" s="265"/>
      <c r="S13" s="264"/>
      <c r="T13" s="260"/>
      <c r="U13" s="260"/>
      <c r="V13" s="262"/>
      <c r="W13" s="260"/>
    </row>
    <row r="14" spans="1:23" ht="22.5" x14ac:dyDescent="0.25">
      <c r="A14" s="215">
        <v>8</v>
      </c>
      <c r="B14" s="97">
        <v>2019</v>
      </c>
      <c r="C14" s="92" t="s">
        <v>296</v>
      </c>
      <c r="D14" s="83">
        <f t="shared" si="0"/>
        <v>2761338.84</v>
      </c>
      <c r="E14" s="84">
        <v>704298.29</v>
      </c>
      <c r="F14" s="88">
        <f t="shared" si="1"/>
        <v>0.26</v>
      </c>
      <c r="G14" s="86">
        <v>704298.28</v>
      </c>
      <c r="H14" s="105">
        <f t="shared" si="2"/>
        <v>0.26</v>
      </c>
      <c r="I14" s="84">
        <v>1352742.27</v>
      </c>
      <c r="J14" s="84">
        <v>0</v>
      </c>
      <c r="K14" s="88">
        <f t="shared" si="3"/>
        <v>0.49</v>
      </c>
      <c r="L14" s="235" t="s">
        <v>14</v>
      </c>
      <c r="O14" s="260"/>
      <c r="P14" s="260"/>
      <c r="Q14" s="262"/>
      <c r="R14" s="265"/>
      <c r="S14" s="264"/>
      <c r="T14" s="260"/>
      <c r="U14" s="260"/>
      <c r="V14" s="262"/>
      <c r="W14" s="260"/>
    </row>
    <row r="15" spans="1:23" ht="47.25" customHeight="1" x14ac:dyDescent="0.25">
      <c r="A15" s="215">
        <v>9</v>
      </c>
      <c r="B15" s="97">
        <v>2019</v>
      </c>
      <c r="C15" s="92" t="s">
        <v>297</v>
      </c>
      <c r="D15" s="83">
        <f t="shared" si="0"/>
        <v>8700</v>
      </c>
      <c r="E15" s="84">
        <v>4350</v>
      </c>
      <c r="F15" s="88">
        <f t="shared" si="1"/>
        <v>0.5</v>
      </c>
      <c r="G15" s="86">
        <v>4350</v>
      </c>
      <c r="H15" s="105">
        <f t="shared" si="2"/>
        <v>0.5</v>
      </c>
      <c r="I15" s="84">
        <v>0</v>
      </c>
      <c r="J15" s="84">
        <v>0</v>
      </c>
      <c r="K15" s="88">
        <f t="shared" si="3"/>
        <v>0</v>
      </c>
      <c r="L15" s="235" t="s">
        <v>14</v>
      </c>
      <c r="O15" s="260"/>
      <c r="P15" s="260"/>
      <c r="Q15" s="262"/>
      <c r="R15" s="265"/>
      <c r="S15" s="264"/>
      <c r="T15" s="260"/>
      <c r="U15" s="260"/>
      <c r="V15" s="262"/>
      <c r="W15" s="260"/>
    </row>
    <row r="16" spans="1:23" ht="36" customHeight="1" x14ac:dyDescent="0.25">
      <c r="A16" s="215">
        <v>10</v>
      </c>
      <c r="B16" s="97">
        <v>2019</v>
      </c>
      <c r="C16" s="92" t="s">
        <v>298</v>
      </c>
      <c r="D16" s="83">
        <f t="shared" si="0"/>
        <v>8000</v>
      </c>
      <c r="E16" s="84">
        <v>8000</v>
      </c>
      <c r="F16" s="88">
        <f t="shared" si="1"/>
        <v>1</v>
      </c>
      <c r="G16" s="86">
        <v>0</v>
      </c>
      <c r="H16" s="105">
        <f t="shared" si="2"/>
        <v>0</v>
      </c>
      <c r="I16" s="84">
        <v>0</v>
      </c>
      <c r="J16" s="84">
        <v>0</v>
      </c>
      <c r="K16" s="88">
        <f t="shared" si="3"/>
        <v>0</v>
      </c>
      <c r="L16" s="235" t="s">
        <v>14</v>
      </c>
      <c r="O16" s="260"/>
      <c r="P16" s="260"/>
      <c r="Q16" s="262"/>
      <c r="R16" s="265"/>
      <c r="S16" s="264"/>
      <c r="T16" s="260"/>
      <c r="U16" s="260"/>
      <c r="V16" s="262"/>
      <c r="W16" s="260"/>
    </row>
    <row r="17" spans="1:23" ht="33.75" x14ac:dyDescent="0.25">
      <c r="A17" s="215">
        <v>11</v>
      </c>
      <c r="B17" s="97">
        <v>2019</v>
      </c>
      <c r="C17" s="92" t="s">
        <v>299</v>
      </c>
      <c r="D17" s="83">
        <f t="shared" si="0"/>
        <v>6000</v>
      </c>
      <c r="E17" s="84">
        <v>6000</v>
      </c>
      <c r="F17" s="88">
        <f t="shared" si="1"/>
        <v>1</v>
      </c>
      <c r="G17" s="86">
        <v>0</v>
      </c>
      <c r="H17" s="105">
        <f t="shared" si="2"/>
        <v>0</v>
      </c>
      <c r="I17" s="84">
        <v>0</v>
      </c>
      <c r="J17" s="84">
        <v>0</v>
      </c>
      <c r="K17" s="88">
        <f t="shared" si="3"/>
        <v>0</v>
      </c>
      <c r="L17" s="236" t="s">
        <v>14</v>
      </c>
      <c r="O17" s="260"/>
      <c r="P17" s="260"/>
      <c r="Q17" s="262"/>
      <c r="R17" s="265"/>
      <c r="S17" s="264"/>
      <c r="T17" s="260"/>
      <c r="U17" s="265"/>
      <c r="V17" s="264"/>
      <c r="W17" s="265"/>
    </row>
    <row r="18" spans="1:23" ht="31.5" customHeight="1" x14ac:dyDescent="0.25">
      <c r="A18" s="215"/>
      <c r="B18" s="97">
        <v>2020</v>
      </c>
      <c r="C18" s="92" t="s">
        <v>504</v>
      </c>
      <c r="D18" s="83">
        <f>E18+G18+I18</f>
        <v>815423.36</v>
      </c>
      <c r="E18" s="84">
        <v>70471.360000000001</v>
      </c>
      <c r="F18" s="88">
        <f t="shared" si="1"/>
        <v>0.09</v>
      </c>
      <c r="G18" s="86">
        <v>70471.360000000001</v>
      </c>
      <c r="H18" s="105">
        <f t="shared" si="2"/>
        <v>0.09</v>
      </c>
      <c r="I18" s="84">
        <v>674480.64000000001</v>
      </c>
      <c r="J18" s="84">
        <v>0</v>
      </c>
      <c r="K18" s="88">
        <f t="shared" si="3"/>
        <v>0.83</v>
      </c>
      <c r="L18" s="236" t="s">
        <v>14</v>
      </c>
      <c r="O18" s="260"/>
      <c r="P18" s="260"/>
      <c r="Q18" s="262"/>
      <c r="R18" s="265"/>
      <c r="S18" s="264"/>
      <c r="T18" s="260"/>
      <c r="U18" s="265"/>
      <c r="V18" s="264"/>
      <c r="W18" s="265"/>
    </row>
    <row r="19" spans="1:23" ht="33.75" x14ac:dyDescent="0.25">
      <c r="A19" s="215">
        <v>12</v>
      </c>
      <c r="B19" s="97" t="s">
        <v>461</v>
      </c>
      <c r="C19" s="92" t="s">
        <v>466</v>
      </c>
      <c r="D19" s="83">
        <f t="shared" si="0"/>
        <v>29950.5</v>
      </c>
      <c r="E19" s="84">
        <v>14975.25</v>
      </c>
      <c r="F19" s="88">
        <f t="shared" si="1"/>
        <v>0.5</v>
      </c>
      <c r="G19" s="86">
        <f>11592.75+3382.5</f>
        <v>14975.25</v>
      </c>
      <c r="H19" s="105">
        <f t="shared" si="2"/>
        <v>0.5</v>
      </c>
      <c r="I19" s="84">
        <v>0</v>
      </c>
      <c r="J19" s="84">
        <v>0</v>
      </c>
      <c r="K19" s="88">
        <f t="shared" si="3"/>
        <v>0</v>
      </c>
      <c r="L19" s="236" t="s">
        <v>14</v>
      </c>
      <c r="M19" s="115"/>
      <c r="O19" s="260"/>
      <c r="P19" s="260"/>
      <c r="Q19" s="262"/>
      <c r="R19" s="265"/>
      <c r="S19" s="264"/>
      <c r="T19" s="260"/>
      <c r="U19" s="265"/>
      <c r="V19" s="264"/>
      <c r="W19" s="265"/>
    </row>
    <row r="20" spans="1:23" ht="33.75" x14ac:dyDescent="0.25">
      <c r="A20" s="215">
        <v>13</v>
      </c>
      <c r="B20" s="97" t="s">
        <v>519</v>
      </c>
      <c r="C20" s="145" t="s">
        <v>300</v>
      </c>
      <c r="D20" s="83">
        <f t="shared" si="0"/>
        <v>97785</v>
      </c>
      <c r="E20" s="84">
        <f>922.5+47970</f>
        <v>48892.5</v>
      </c>
      <c r="F20" s="88">
        <f t="shared" si="1"/>
        <v>0.5</v>
      </c>
      <c r="G20" s="86">
        <v>48892.5</v>
      </c>
      <c r="H20" s="105">
        <f t="shared" si="2"/>
        <v>0.5</v>
      </c>
      <c r="I20" s="84">
        <v>0</v>
      </c>
      <c r="J20" s="84">
        <v>0</v>
      </c>
      <c r="K20" s="88">
        <f t="shared" si="3"/>
        <v>0</v>
      </c>
      <c r="L20" s="236" t="s">
        <v>14</v>
      </c>
      <c r="O20" s="260"/>
      <c r="P20" s="260"/>
      <c r="Q20" s="262"/>
      <c r="R20" s="265"/>
      <c r="S20" s="264"/>
      <c r="T20" s="260"/>
      <c r="U20" s="265"/>
      <c r="V20" s="264"/>
      <c r="W20" s="265"/>
    </row>
    <row r="21" spans="1:23" ht="22.5" x14ac:dyDescent="0.25">
      <c r="A21" s="215">
        <v>14</v>
      </c>
      <c r="B21" s="97">
        <v>2021</v>
      </c>
      <c r="C21" s="92" t="s">
        <v>301</v>
      </c>
      <c r="D21" s="83">
        <f t="shared" si="0"/>
        <v>2773280.39</v>
      </c>
      <c r="E21" s="84">
        <f>800000+77575.46+1470</f>
        <v>879045.46</v>
      </c>
      <c r="F21" s="88">
        <f t="shared" si="1"/>
        <v>0.32</v>
      </c>
      <c r="G21" s="86">
        <v>841012.48</v>
      </c>
      <c r="H21" s="105">
        <f t="shared" si="2"/>
        <v>0.3</v>
      </c>
      <c r="I21" s="84">
        <f>1053222.45</f>
        <v>1053222.45</v>
      </c>
      <c r="J21" s="84">
        <v>0</v>
      </c>
      <c r="K21" s="88">
        <f t="shared" si="3"/>
        <v>0.38</v>
      </c>
      <c r="L21" s="236" t="s">
        <v>14</v>
      </c>
      <c r="O21" s="260"/>
      <c r="P21" s="260"/>
      <c r="Q21" s="262"/>
      <c r="R21" s="265"/>
      <c r="S21" s="264"/>
      <c r="T21" s="260"/>
      <c r="U21" s="265"/>
      <c r="V21" s="264"/>
      <c r="W21" s="265"/>
    </row>
    <row r="22" spans="1:23" ht="22.5" x14ac:dyDescent="0.25">
      <c r="A22" s="215">
        <v>15</v>
      </c>
      <c r="B22" s="97">
        <v>2021</v>
      </c>
      <c r="C22" s="92" t="s">
        <v>302</v>
      </c>
      <c r="D22" s="83">
        <f t="shared" si="0"/>
        <v>1087869.24</v>
      </c>
      <c r="E22" s="84">
        <f>365248.26+1470</f>
        <v>366718.26</v>
      </c>
      <c r="F22" s="88">
        <f t="shared" si="1"/>
        <v>0.34</v>
      </c>
      <c r="G22" s="86">
        <v>366718.25</v>
      </c>
      <c r="H22" s="105">
        <f t="shared" si="2"/>
        <v>0.34</v>
      </c>
      <c r="I22" s="84">
        <v>354432.73</v>
      </c>
      <c r="J22" s="84">
        <v>0</v>
      </c>
      <c r="K22" s="88">
        <f t="shared" si="3"/>
        <v>0.33</v>
      </c>
      <c r="L22" s="236" t="s">
        <v>14</v>
      </c>
      <c r="O22" s="260"/>
      <c r="P22" s="260"/>
      <c r="Q22" s="262"/>
      <c r="R22" s="265"/>
      <c r="S22" s="264"/>
      <c r="T22" s="260"/>
      <c r="U22" s="265"/>
      <c r="V22" s="264"/>
      <c r="W22" s="265"/>
    </row>
    <row r="23" spans="1:23" ht="22.5" x14ac:dyDescent="0.25">
      <c r="A23" s="215">
        <v>16</v>
      </c>
      <c r="B23" s="97">
        <v>2021</v>
      </c>
      <c r="C23" s="92" t="s">
        <v>303</v>
      </c>
      <c r="D23" s="83">
        <f t="shared" si="0"/>
        <v>17858.37</v>
      </c>
      <c r="E23" s="84">
        <v>8929.19</v>
      </c>
      <c r="F23" s="88">
        <f t="shared" si="1"/>
        <v>0.5</v>
      </c>
      <c r="G23" s="86">
        <v>8929.18</v>
      </c>
      <c r="H23" s="105">
        <f t="shared" si="2"/>
        <v>0.5</v>
      </c>
      <c r="I23" s="84">
        <v>0</v>
      </c>
      <c r="J23" s="84">
        <v>0</v>
      </c>
      <c r="K23" s="88">
        <f t="shared" si="3"/>
        <v>0</v>
      </c>
      <c r="L23" s="235" t="s">
        <v>14</v>
      </c>
      <c r="O23" s="260"/>
      <c r="P23" s="260"/>
      <c r="Q23" s="262"/>
      <c r="R23" s="265"/>
      <c r="S23" s="264"/>
      <c r="T23" s="260"/>
      <c r="U23" s="260"/>
      <c r="V23" s="262"/>
      <c r="W23" s="260"/>
    </row>
    <row r="24" spans="1:23" ht="22.5" x14ac:dyDescent="0.25">
      <c r="A24" s="215">
        <v>17</v>
      </c>
      <c r="B24" s="97" t="s">
        <v>465</v>
      </c>
      <c r="C24" s="92" t="s">
        <v>304</v>
      </c>
      <c r="D24" s="83">
        <f t="shared" si="0"/>
        <v>31980</v>
      </c>
      <c r="E24" s="84">
        <v>15990</v>
      </c>
      <c r="F24" s="88">
        <f t="shared" si="1"/>
        <v>0.5</v>
      </c>
      <c r="G24" s="86">
        <f>6765+9225</f>
        <v>15990</v>
      </c>
      <c r="H24" s="105">
        <f t="shared" si="2"/>
        <v>0.5</v>
      </c>
      <c r="I24" s="84">
        <v>0</v>
      </c>
      <c r="J24" s="84">
        <v>0</v>
      </c>
      <c r="K24" s="88">
        <f t="shared" si="3"/>
        <v>0</v>
      </c>
      <c r="L24" s="235" t="s">
        <v>14</v>
      </c>
      <c r="O24" s="260"/>
      <c r="P24" s="260"/>
      <c r="Q24" s="262"/>
      <c r="R24" s="265"/>
      <c r="S24" s="264"/>
      <c r="T24" s="260"/>
      <c r="U24" s="260"/>
      <c r="V24" s="262"/>
      <c r="W24" s="260"/>
    </row>
    <row r="25" spans="1:23" ht="22.5" x14ac:dyDescent="0.25">
      <c r="A25" s="215">
        <v>18</v>
      </c>
      <c r="B25" s="97">
        <v>2022</v>
      </c>
      <c r="C25" s="145" t="s">
        <v>305</v>
      </c>
      <c r="D25" s="83">
        <f t="shared" si="0"/>
        <v>1927564.97</v>
      </c>
      <c r="E25" s="86">
        <f>583539.97+56824.03</f>
        <v>640364</v>
      </c>
      <c r="F25" s="88">
        <f t="shared" si="1"/>
        <v>0.33</v>
      </c>
      <c r="G25" s="86">
        <f>583539.96+56261.03</f>
        <v>639800.99</v>
      </c>
      <c r="H25" s="105">
        <f t="shared" si="2"/>
        <v>0.33</v>
      </c>
      <c r="I25" s="84">
        <v>647399.98</v>
      </c>
      <c r="J25" s="84">
        <v>0</v>
      </c>
      <c r="K25" s="88">
        <f t="shared" si="3"/>
        <v>0.34</v>
      </c>
      <c r="L25" s="235" t="s">
        <v>14</v>
      </c>
      <c r="M25" s="150"/>
      <c r="O25" s="260"/>
      <c r="P25" s="260"/>
      <c r="Q25" s="262"/>
      <c r="R25" s="265"/>
      <c r="S25" s="264"/>
      <c r="T25" s="260"/>
      <c r="U25" s="265"/>
      <c r="V25" s="264"/>
      <c r="W25" s="265"/>
    </row>
    <row r="26" spans="1:23" ht="31.5" customHeight="1" x14ac:dyDescent="0.25">
      <c r="A26" s="215">
        <v>20</v>
      </c>
      <c r="B26" s="97" t="s">
        <v>475</v>
      </c>
      <c r="C26" s="145" t="s">
        <v>306</v>
      </c>
      <c r="D26" s="83">
        <f t="shared" si="0"/>
        <v>129691.2</v>
      </c>
      <c r="E26" s="86">
        <f>15375+36285+13185.6</f>
        <v>64845.599999999999</v>
      </c>
      <c r="F26" s="88">
        <f t="shared" si="1"/>
        <v>0.5</v>
      </c>
      <c r="G26" s="86">
        <f>15375+36285+13185.6</f>
        <v>64845.599999999999</v>
      </c>
      <c r="H26" s="105">
        <f t="shared" si="2"/>
        <v>0.5</v>
      </c>
      <c r="I26" s="84">
        <v>0</v>
      </c>
      <c r="J26" s="84">
        <v>0</v>
      </c>
      <c r="K26" s="88">
        <f t="shared" si="3"/>
        <v>0</v>
      </c>
      <c r="L26" s="235" t="s">
        <v>14</v>
      </c>
      <c r="M26" s="115"/>
      <c r="O26" s="260"/>
      <c r="P26" s="260"/>
      <c r="Q26" s="262"/>
      <c r="R26" s="265"/>
      <c r="S26" s="264"/>
      <c r="T26" s="260"/>
      <c r="U26" s="260"/>
      <c r="V26" s="262"/>
      <c r="W26" s="260"/>
    </row>
    <row r="27" spans="1:23" ht="33.75" x14ac:dyDescent="0.25">
      <c r="A27" s="216">
        <v>21</v>
      </c>
      <c r="B27" s="119">
        <v>2022</v>
      </c>
      <c r="C27" s="28" t="s">
        <v>307</v>
      </c>
      <c r="D27" s="83">
        <f t="shared" si="0"/>
        <v>26961.599999999999</v>
      </c>
      <c r="E27" s="84">
        <v>26961.599999999999</v>
      </c>
      <c r="F27" s="88">
        <f t="shared" si="1"/>
        <v>1</v>
      </c>
      <c r="G27" s="86">
        <v>0</v>
      </c>
      <c r="H27" s="105">
        <f t="shared" si="2"/>
        <v>0</v>
      </c>
      <c r="I27" s="84"/>
      <c r="J27" s="84"/>
      <c r="K27" s="88">
        <f t="shared" si="3"/>
        <v>0</v>
      </c>
      <c r="L27" s="235" t="s">
        <v>14</v>
      </c>
      <c r="O27" s="260"/>
      <c r="P27" s="260"/>
      <c r="Q27" s="262"/>
      <c r="R27" s="265"/>
      <c r="S27" s="264"/>
      <c r="T27" s="260"/>
      <c r="U27" s="260"/>
      <c r="V27" s="262"/>
      <c r="W27" s="260"/>
    </row>
    <row r="28" spans="1:23" ht="33.75" x14ac:dyDescent="0.25">
      <c r="A28" s="216">
        <v>22</v>
      </c>
      <c r="B28" s="119">
        <v>2022</v>
      </c>
      <c r="C28" s="28" t="s">
        <v>308</v>
      </c>
      <c r="D28" s="83">
        <f t="shared" si="0"/>
        <v>126800.7</v>
      </c>
      <c r="E28" s="86">
        <v>20104.349999999999</v>
      </c>
      <c r="F28" s="88">
        <f t="shared" si="1"/>
        <v>0.16</v>
      </c>
      <c r="G28" s="86">
        <v>20104.349999999999</v>
      </c>
      <c r="H28" s="105">
        <f t="shared" si="2"/>
        <v>0.16</v>
      </c>
      <c r="I28" s="84">
        <v>86592</v>
      </c>
      <c r="J28" s="84">
        <v>0</v>
      </c>
      <c r="K28" s="88">
        <f t="shared" si="3"/>
        <v>0.68</v>
      </c>
      <c r="L28" s="235" t="s">
        <v>14</v>
      </c>
      <c r="O28" s="260"/>
      <c r="P28" s="260"/>
      <c r="Q28" s="262"/>
      <c r="R28" s="265"/>
      <c r="S28" s="264"/>
      <c r="T28" s="260"/>
      <c r="U28" s="260"/>
      <c r="V28" s="262"/>
      <c r="W28" s="260"/>
    </row>
    <row r="29" spans="1:23" ht="33.75" customHeight="1" x14ac:dyDescent="0.25">
      <c r="A29" s="216">
        <v>23</v>
      </c>
      <c r="B29" s="119">
        <v>2022</v>
      </c>
      <c r="C29" s="28" t="s">
        <v>309</v>
      </c>
      <c r="D29" s="83">
        <f t="shared" si="0"/>
        <v>122754</v>
      </c>
      <c r="E29" s="84">
        <v>18081</v>
      </c>
      <c r="F29" s="88">
        <f t="shared" si="1"/>
        <v>0.15</v>
      </c>
      <c r="G29" s="86">
        <v>18081</v>
      </c>
      <c r="H29" s="105">
        <f t="shared" si="2"/>
        <v>0.15</v>
      </c>
      <c r="I29" s="84">
        <v>86592</v>
      </c>
      <c r="J29" s="84">
        <v>0</v>
      </c>
      <c r="K29" s="88">
        <f t="shared" si="3"/>
        <v>0.71</v>
      </c>
      <c r="L29" s="235" t="s">
        <v>14</v>
      </c>
      <c r="O29" s="260"/>
      <c r="P29" s="260"/>
      <c r="Q29" s="262"/>
      <c r="R29" s="265"/>
      <c r="S29" s="264"/>
      <c r="T29" s="260"/>
      <c r="U29" s="260"/>
      <c r="V29" s="262"/>
      <c r="W29" s="260"/>
    </row>
    <row r="30" spans="1:23" ht="62.25" customHeight="1" x14ac:dyDescent="0.25">
      <c r="A30" s="216">
        <v>25</v>
      </c>
      <c r="B30" s="119">
        <v>2022</v>
      </c>
      <c r="C30" s="28" t="s">
        <v>506</v>
      </c>
      <c r="D30" s="83">
        <f t="shared" si="0"/>
        <v>249554.69</v>
      </c>
      <c r="E30" s="84">
        <f>20104.35+18081</f>
        <v>38185.35</v>
      </c>
      <c r="F30" s="88">
        <f t="shared" si="1"/>
        <v>0.15</v>
      </c>
      <c r="G30" s="86">
        <f>20104.34+18081</f>
        <v>38185.339999999997</v>
      </c>
      <c r="H30" s="105">
        <f t="shared" si="2"/>
        <v>0.15</v>
      </c>
      <c r="I30" s="84">
        <f>86592+86592</f>
        <v>173184</v>
      </c>
      <c r="J30" s="84">
        <v>0</v>
      </c>
      <c r="K30" s="88">
        <f t="shared" si="3"/>
        <v>0.69</v>
      </c>
      <c r="L30" s="235" t="s">
        <v>14</v>
      </c>
      <c r="M30" s="115"/>
      <c r="O30" s="260"/>
      <c r="P30" s="260"/>
      <c r="Q30" s="262"/>
      <c r="R30" s="265"/>
      <c r="S30" s="264"/>
      <c r="T30" s="260"/>
      <c r="U30" s="260"/>
      <c r="V30" s="262"/>
      <c r="W30" s="260"/>
    </row>
    <row r="31" spans="1:23" ht="30.75" customHeight="1" x14ac:dyDescent="0.25">
      <c r="A31" s="215">
        <v>26</v>
      </c>
      <c r="B31" s="97" t="s">
        <v>515</v>
      </c>
      <c r="C31" s="92" t="s">
        <v>310</v>
      </c>
      <c r="D31" s="83">
        <f t="shared" si="0"/>
        <v>1072786.94</v>
      </c>
      <c r="E31" s="84">
        <v>293756.14</v>
      </c>
      <c r="F31" s="88">
        <f t="shared" si="1"/>
        <v>0.27</v>
      </c>
      <c r="G31" s="86">
        <v>293756.13</v>
      </c>
      <c r="H31" s="105">
        <f t="shared" si="2"/>
        <v>0.27</v>
      </c>
      <c r="I31" s="84">
        <v>485274.67</v>
      </c>
      <c r="J31" s="84">
        <v>0</v>
      </c>
      <c r="K31" s="88">
        <f t="shared" si="3"/>
        <v>0.45</v>
      </c>
      <c r="L31" s="235" t="s">
        <v>14</v>
      </c>
    </row>
    <row r="32" spans="1:23" ht="33" customHeight="1" x14ac:dyDescent="0.25">
      <c r="A32" s="375" t="s">
        <v>34</v>
      </c>
      <c r="B32" s="375"/>
      <c r="C32" s="375"/>
      <c r="D32" s="192">
        <f>SUM(D8:D31)</f>
        <v>19370110.640000001</v>
      </c>
      <c r="E32" s="192">
        <f>SUM(E8:E31)</f>
        <v>6734378.21</v>
      </c>
      <c r="F32" s="189">
        <f>E32/D32</f>
        <v>0.35</v>
      </c>
      <c r="G32" s="192">
        <f>SUM(G8:G31)</f>
        <v>6524820.6900000004</v>
      </c>
      <c r="H32" s="190">
        <f>G32/D32</f>
        <v>0.34</v>
      </c>
      <c r="I32" s="192">
        <f>SUM(I8:I31)</f>
        <v>6110911.7400000002</v>
      </c>
      <c r="J32" s="192">
        <f>SUM(J8:J31)</f>
        <v>0</v>
      </c>
      <c r="K32" s="189">
        <f>(I32+J32)/D32</f>
        <v>0.32</v>
      </c>
      <c r="L32" s="191" t="s">
        <v>35</v>
      </c>
    </row>
  </sheetData>
  <mergeCells count="18">
    <mergeCell ref="I5:I6"/>
    <mergeCell ref="J5:J6"/>
    <mergeCell ref="K5:K6"/>
    <mergeCell ref="A32:C32"/>
    <mergeCell ref="A2:L2"/>
    <mergeCell ref="L3:L6"/>
    <mergeCell ref="A3:A6"/>
    <mergeCell ref="B3:B6"/>
    <mergeCell ref="C3:C6"/>
    <mergeCell ref="D3:D6"/>
    <mergeCell ref="E3:K3"/>
    <mergeCell ref="E4:F4"/>
    <mergeCell ref="G4:H4"/>
    <mergeCell ref="I4:K4"/>
    <mergeCell ref="E5:E6"/>
    <mergeCell ref="F5:F6"/>
    <mergeCell ref="G5:G6"/>
    <mergeCell ref="H5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W24"/>
  <sheetViews>
    <sheetView topLeftCell="A4" zoomScale="115" zoomScaleNormal="115" workbookViewId="0">
      <selection activeCell="C10" sqref="C10"/>
    </sheetView>
  </sheetViews>
  <sheetFormatPr defaultRowHeight="15" x14ac:dyDescent="0.25"/>
  <cols>
    <col min="1" max="1" width="9.140625" style="214"/>
    <col min="2" max="2" width="14.42578125" style="50" customWidth="1"/>
    <col min="3" max="3" width="36.5703125" customWidth="1"/>
    <col min="4" max="4" width="14.85546875" style="54" customWidth="1"/>
    <col min="5" max="5" width="12.7109375" style="54" customWidth="1"/>
    <col min="6" max="6" width="10.140625" customWidth="1"/>
    <col min="7" max="7" width="12.28515625" style="54" customWidth="1"/>
    <col min="8" max="8" width="14.42578125" customWidth="1"/>
    <col min="9" max="9" width="16" style="54" customWidth="1"/>
    <col min="10" max="10" width="11.140625" style="54" bestFit="1" customWidth="1"/>
    <col min="11" max="11" width="13.7109375" customWidth="1"/>
    <col min="12" max="12" width="16.85546875" style="50" customWidth="1"/>
    <col min="13" max="13" width="16.28515625" customWidth="1"/>
  </cols>
  <sheetData>
    <row r="2" spans="1:23" ht="69" customHeight="1" x14ac:dyDescent="0.25">
      <c r="A2" s="376" t="s">
        <v>312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</row>
    <row r="3" spans="1:23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23" ht="33.7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23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23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23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23" ht="33.75" x14ac:dyDescent="0.25">
      <c r="A8" s="215">
        <v>1</v>
      </c>
      <c r="B8" s="97">
        <v>2016</v>
      </c>
      <c r="C8" s="92" t="s">
        <v>499</v>
      </c>
      <c r="D8" s="83">
        <f>E8+G8+I8+J8</f>
        <v>36594.959999999999</v>
      </c>
      <c r="E8" s="84">
        <v>18297.48</v>
      </c>
      <c r="F8" s="88">
        <f>E8/D8</f>
        <v>0.5</v>
      </c>
      <c r="G8" s="86">
        <v>18297.48</v>
      </c>
      <c r="H8" s="105">
        <f>G8/D8</f>
        <v>0.5</v>
      </c>
      <c r="I8" s="84">
        <v>0</v>
      </c>
      <c r="J8" s="84">
        <v>0</v>
      </c>
      <c r="K8" s="88">
        <f>(I8+J8)/D8</f>
        <v>0</v>
      </c>
      <c r="L8" s="285" t="s">
        <v>14</v>
      </c>
      <c r="O8" s="30">
        <v>36595</v>
      </c>
      <c r="P8" s="30">
        <v>18298</v>
      </c>
      <c r="Q8" s="34">
        <v>0.5</v>
      </c>
      <c r="R8" s="31">
        <v>18297</v>
      </c>
      <c r="S8" s="32">
        <v>0.5</v>
      </c>
      <c r="T8" s="33">
        <v>0</v>
      </c>
      <c r="U8" s="33">
        <v>0</v>
      </c>
      <c r="V8" s="34">
        <v>0</v>
      </c>
      <c r="W8" s="33" t="s">
        <v>14</v>
      </c>
    </row>
    <row r="9" spans="1:23" ht="45" x14ac:dyDescent="0.25">
      <c r="A9" s="215">
        <v>2</v>
      </c>
      <c r="B9" s="97">
        <v>2016</v>
      </c>
      <c r="C9" s="92" t="s">
        <v>98</v>
      </c>
      <c r="D9" s="83">
        <f>E9+G9+I9+J9</f>
        <v>66594.03</v>
      </c>
      <c r="E9" s="84">
        <v>36594.03</v>
      </c>
      <c r="F9" s="88">
        <f>E9/D9</f>
        <v>0.55000000000000004</v>
      </c>
      <c r="G9" s="86">
        <v>30000</v>
      </c>
      <c r="H9" s="105">
        <f t="shared" ref="H9:H10" si="0">G9/D9</f>
        <v>0.45</v>
      </c>
      <c r="I9" s="84">
        <v>0</v>
      </c>
      <c r="J9" s="84">
        <v>0</v>
      </c>
      <c r="K9" s="88">
        <f t="shared" ref="K9:K21" si="1">(I9+J9)/D9</f>
        <v>0</v>
      </c>
      <c r="L9" s="285" t="s">
        <v>14</v>
      </c>
      <c r="O9" s="30">
        <v>66594</v>
      </c>
      <c r="P9" s="30">
        <v>36594</v>
      </c>
      <c r="Q9" s="34">
        <v>0.55000000000000004</v>
      </c>
      <c r="R9" s="31">
        <v>30000</v>
      </c>
      <c r="S9" s="32">
        <v>0.45</v>
      </c>
      <c r="T9" s="33">
        <v>0</v>
      </c>
      <c r="U9" s="33">
        <v>0</v>
      </c>
      <c r="V9" s="34">
        <v>0</v>
      </c>
      <c r="W9" s="33" t="s">
        <v>14</v>
      </c>
    </row>
    <row r="10" spans="1:23" ht="22.5" x14ac:dyDescent="0.25">
      <c r="A10" s="215">
        <v>3</v>
      </c>
      <c r="B10" s="97">
        <v>2017</v>
      </c>
      <c r="C10" s="92" t="s">
        <v>99</v>
      </c>
      <c r="D10" s="83">
        <f t="shared" ref="D10:D21" si="2">E10+G10+I10+J10</f>
        <v>1209350.6200000001</v>
      </c>
      <c r="E10" s="84">
        <v>600000</v>
      </c>
      <c r="F10" s="88">
        <f t="shared" ref="F10:F21" si="3">E10/D10</f>
        <v>0.5</v>
      </c>
      <c r="G10" s="86">
        <v>609350.62</v>
      </c>
      <c r="H10" s="105">
        <f t="shared" si="0"/>
        <v>0.5</v>
      </c>
      <c r="I10" s="84">
        <v>0</v>
      </c>
      <c r="J10" s="84">
        <v>0</v>
      </c>
      <c r="K10" s="88">
        <f t="shared" si="1"/>
        <v>0</v>
      </c>
      <c r="L10" s="310" t="s">
        <v>14</v>
      </c>
      <c r="O10" s="39">
        <v>1209351</v>
      </c>
      <c r="P10" s="39">
        <v>600000</v>
      </c>
      <c r="Q10" s="36">
        <v>0.5</v>
      </c>
      <c r="R10" s="37">
        <v>609351</v>
      </c>
      <c r="S10" s="38">
        <v>0.5</v>
      </c>
      <c r="T10" s="39">
        <v>0</v>
      </c>
      <c r="U10" s="39">
        <v>0</v>
      </c>
      <c r="V10" s="36">
        <v>0</v>
      </c>
      <c r="W10" s="39" t="s">
        <v>14</v>
      </c>
    </row>
    <row r="11" spans="1:23" ht="22.5" x14ac:dyDescent="0.25">
      <c r="A11" s="215">
        <v>4</v>
      </c>
      <c r="B11" s="97">
        <v>2018</v>
      </c>
      <c r="C11" s="92" t="s">
        <v>100</v>
      </c>
      <c r="D11" s="83">
        <f t="shared" si="2"/>
        <v>569335.57999999996</v>
      </c>
      <c r="E11" s="84">
        <v>284667.78999999998</v>
      </c>
      <c r="F11" s="88">
        <f t="shared" si="3"/>
        <v>0.5</v>
      </c>
      <c r="G11" s="86">
        <v>284667.78999999998</v>
      </c>
      <c r="H11" s="105">
        <f t="shared" ref="H11:H21" si="4">G11/D11</f>
        <v>0.5</v>
      </c>
      <c r="I11" s="84">
        <v>0</v>
      </c>
      <c r="J11" s="84">
        <v>0</v>
      </c>
      <c r="K11" s="88">
        <f t="shared" si="1"/>
        <v>0</v>
      </c>
      <c r="L11" s="310" t="s">
        <v>14</v>
      </c>
      <c r="O11" s="39">
        <v>800000</v>
      </c>
      <c r="P11" s="39">
        <v>400000</v>
      </c>
      <c r="Q11" s="36">
        <v>0.5</v>
      </c>
      <c r="R11" s="37">
        <v>400000</v>
      </c>
      <c r="S11" s="38">
        <v>0.5</v>
      </c>
      <c r="T11" s="39">
        <v>0</v>
      </c>
      <c r="U11" s="39">
        <v>0</v>
      </c>
      <c r="V11" s="36">
        <v>0</v>
      </c>
      <c r="W11" s="39" t="s">
        <v>14</v>
      </c>
    </row>
    <row r="12" spans="1:23" ht="33.75" x14ac:dyDescent="0.25">
      <c r="A12" s="215">
        <v>5</v>
      </c>
      <c r="B12" s="97">
        <v>2018</v>
      </c>
      <c r="C12" s="92" t="s">
        <v>101</v>
      </c>
      <c r="D12" s="83">
        <f t="shared" si="2"/>
        <v>1354838.93</v>
      </c>
      <c r="E12" s="84">
        <v>338709.74</v>
      </c>
      <c r="F12" s="88">
        <f t="shared" si="3"/>
        <v>0.25</v>
      </c>
      <c r="G12" s="86">
        <v>338709.73</v>
      </c>
      <c r="H12" s="105">
        <f t="shared" si="4"/>
        <v>0.25</v>
      </c>
      <c r="I12" s="84">
        <v>677419.46</v>
      </c>
      <c r="J12" s="84">
        <v>0</v>
      </c>
      <c r="K12" s="88">
        <f t="shared" si="1"/>
        <v>0.5</v>
      </c>
      <c r="L12" s="310" t="s">
        <v>14</v>
      </c>
      <c r="O12" s="39">
        <v>1500000</v>
      </c>
      <c r="P12" s="39">
        <v>375000</v>
      </c>
      <c r="Q12" s="36">
        <v>0.25</v>
      </c>
      <c r="R12" s="37">
        <v>375000</v>
      </c>
      <c r="S12" s="38">
        <v>0.25</v>
      </c>
      <c r="T12" s="39">
        <v>0</v>
      </c>
      <c r="U12" s="39">
        <v>750000</v>
      </c>
      <c r="V12" s="36">
        <v>0.5</v>
      </c>
      <c r="W12" s="39" t="s">
        <v>14</v>
      </c>
    </row>
    <row r="13" spans="1:23" ht="33.75" x14ac:dyDescent="0.25">
      <c r="A13" s="215">
        <v>6</v>
      </c>
      <c r="B13" s="97">
        <v>2019</v>
      </c>
      <c r="C13" s="92" t="s">
        <v>313</v>
      </c>
      <c r="D13" s="83">
        <f t="shared" si="2"/>
        <v>6000</v>
      </c>
      <c r="E13" s="84">
        <v>6000</v>
      </c>
      <c r="F13" s="88">
        <f t="shared" si="3"/>
        <v>1</v>
      </c>
      <c r="G13" s="86">
        <v>0</v>
      </c>
      <c r="H13" s="105">
        <f t="shared" si="4"/>
        <v>0</v>
      </c>
      <c r="I13" s="84">
        <v>0</v>
      </c>
      <c r="J13" s="84">
        <v>0</v>
      </c>
      <c r="K13" s="88">
        <f t="shared" si="1"/>
        <v>0</v>
      </c>
      <c r="L13" s="77" t="s">
        <v>14</v>
      </c>
      <c r="O13" s="30">
        <v>6000</v>
      </c>
      <c r="P13" s="30">
        <v>6000</v>
      </c>
      <c r="Q13" s="34">
        <f t="shared" ref="Q13:Q21" si="5">P13/O13</f>
        <v>1</v>
      </c>
      <c r="R13" s="31">
        <v>0</v>
      </c>
      <c r="S13" s="32">
        <f t="shared" ref="S13:S21" si="6">R13/O13</f>
        <v>0</v>
      </c>
      <c r="T13" s="30">
        <v>0</v>
      </c>
      <c r="U13" s="33">
        <v>0</v>
      </c>
      <c r="V13" s="35">
        <f t="shared" ref="V13:V17" si="7">T13/O13</f>
        <v>0</v>
      </c>
      <c r="W13" s="41" t="s">
        <v>14</v>
      </c>
    </row>
    <row r="14" spans="1:23" ht="23.25" customHeight="1" x14ac:dyDescent="0.25">
      <c r="A14" s="215">
        <v>7</v>
      </c>
      <c r="B14" s="97" t="s">
        <v>461</v>
      </c>
      <c r="C14" s="92" t="s">
        <v>314</v>
      </c>
      <c r="D14" s="83">
        <f t="shared" si="2"/>
        <v>980714.85</v>
      </c>
      <c r="E14" s="84">
        <v>242705.28</v>
      </c>
      <c r="F14" s="88">
        <f t="shared" si="3"/>
        <v>0.25</v>
      </c>
      <c r="G14" s="86">
        <v>254964.05</v>
      </c>
      <c r="H14" s="105">
        <f t="shared" si="4"/>
        <v>0.26</v>
      </c>
      <c r="I14" s="84">
        <v>483045.52</v>
      </c>
      <c r="J14" s="84">
        <v>0</v>
      </c>
      <c r="K14" s="88">
        <f t="shared" si="1"/>
        <v>0.49</v>
      </c>
      <c r="L14" s="235" t="s">
        <v>14</v>
      </c>
      <c r="M14" s="115"/>
      <c r="O14" s="39">
        <v>268967</v>
      </c>
      <c r="P14" s="39">
        <v>0</v>
      </c>
      <c r="Q14" s="36">
        <f t="shared" si="5"/>
        <v>0</v>
      </c>
      <c r="R14" s="37">
        <v>0</v>
      </c>
      <c r="S14" s="38">
        <f t="shared" si="6"/>
        <v>0</v>
      </c>
      <c r="T14" s="39">
        <v>268967</v>
      </c>
      <c r="U14" s="39">
        <v>0</v>
      </c>
      <c r="V14" s="43">
        <f t="shared" si="7"/>
        <v>1</v>
      </c>
      <c r="W14" s="42" t="s">
        <v>14</v>
      </c>
    </row>
    <row r="15" spans="1:23" ht="22.5" x14ac:dyDescent="0.25">
      <c r="A15" s="215">
        <v>8</v>
      </c>
      <c r="B15" s="97" t="s">
        <v>461</v>
      </c>
      <c r="C15" s="92" t="s">
        <v>315</v>
      </c>
      <c r="D15" s="83">
        <f t="shared" si="2"/>
        <v>1327804.93</v>
      </c>
      <c r="E15" s="84">
        <v>387328.94</v>
      </c>
      <c r="F15" s="88">
        <f t="shared" si="3"/>
        <v>0.28999999999999998</v>
      </c>
      <c r="G15" s="86">
        <v>375070.16</v>
      </c>
      <c r="H15" s="105">
        <f t="shared" si="4"/>
        <v>0.28000000000000003</v>
      </c>
      <c r="I15" s="84">
        <v>565405.82999999996</v>
      </c>
      <c r="J15" s="84">
        <v>0</v>
      </c>
      <c r="K15" s="88">
        <f t="shared" si="1"/>
        <v>0.43</v>
      </c>
      <c r="L15" s="77" t="s">
        <v>14</v>
      </c>
      <c r="M15" s="115"/>
      <c r="O15" s="30">
        <v>675053</v>
      </c>
      <c r="P15" s="30">
        <v>385859</v>
      </c>
      <c r="Q15" s="34">
        <f t="shared" si="5"/>
        <v>0.56999999999999995</v>
      </c>
      <c r="R15" s="31">
        <v>0</v>
      </c>
      <c r="S15" s="32">
        <f t="shared" si="6"/>
        <v>0</v>
      </c>
      <c r="T15" s="30">
        <v>289194</v>
      </c>
      <c r="U15" s="33">
        <v>0</v>
      </c>
      <c r="V15" s="35">
        <f t="shared" si="7"/>
        <v>0.43</v>
      </c>
      <c r="W15" s="41" t="s">
        <v>14</v>
      </c>
    </row>
    <row r="16" spans="1:23" ht="45" x14ac:dyDescent="0.25">
      <c r="A16" s="215">
        <v>9</v>
      </c>
      <c r="B16" s="81" t="s">
        <v>465</v>
      </c>
      <c r="C16" s="82" t="s">
        <v>316</v>
      </c>
      <c r="D16" s="83">
        <f t="shared" ref="D16" si="8">E16+G16+I16+J16</f>
        <v>148362.6</v>
      </c>
      <c r="E16" s="84">
        <v>74181.3</v>
      </c>
      <c r="F16" s="88">
        <f t="shared" ref="F16" si="9">E16/D16</f>
        <v>0.5</v>
      </c>
      <c r="G16" s="86">
        <f>44895+29286.3</f>
        <v>74181.3</v>
      </c>
      <c r="H16" s="105">
        <f t="shared" ref="H16" si="10">G16/D16</f>
        <v>0.5</v>
      </c>
      <c r="I16" s="84">
        <v>0</v>
      </c>
      <c r="J16" s="84"/>
      <c r="K16" s="88">
        <f t="shared" ref="K16" si="11">(I16+J16)/D16</f>
        <v>0</v>
      </c>
      <c r="L16" s="77" t="s">
        <v>14</v>
      </c>
      <c r="O16" s="30"/>
      <c r="P16" s="30"/>
      <c r="Q16" s="34"/>
      <c r="R16" s="31"/>
      <c r="S16" s="32"/>
      <c r="T16" s="30"/>
      <c r="U16" s="30"/>
      <c r="V16" s="35"/>
      <c r="W16" s="41"/>
    </row>
    <row r="17" spans="1:23" ht="33.75" x14ac:dyDescent="0.25">
      <c r="A17" s="215">
        <v>10</v>
      </c>
      <c r="B17" s="81" t="s">
        <v>464</v>
      </c>
      <c r="C17" s="82" t="s">
        <v>317</v>
      </c>
      <c r="D17" s="83">
        <f t="shared" si="2"/>
        <v>43050</v>
      </c>
      <c r="E17" s="84">
        <v>21525</v>
      </c>
      <c r="F17" s="88">
        <f t="shared" si="3"/>
        <v>0.5</v>
      </c>
      <c r="G17" s="86">
        <v>21525</v>
      </c>
      <c r="H17" s="105">
        <f t="shared" si="4"/>
        <v>0.5</v>
      </c>
      <c r="I17" s="84">
        <v>0</v>
      </c>
      <c r="J17" s="84">
        <v>0</v>
      </c>
      <c r="K17" s="88">
        <f t="shared" si="1"/>
        <v>0</v>
      </c>
      <c r="L17" s="77" t="s">
        <v>14</v>
      </c>
      <c r="O17" s="30">
        <v>39360</v>
      </c>
      <c r="P17" s="30">
        <v>17835</v>
      </c>
      <c r="Q17" s="34">
        <f t="shared" si="5"/>
        <v>0.45</v>
      </c>
      <c r="R17" s="31">
        <v>21525</v>
      </c>
      <c r="S17" s="32">
        <f t="shared" si="6"/>
        <v>0.55000000000000004</v>
      </c>
      <c r="T17" s="30">
        <v>0</v>
      </c>
      <c r="U17" s="33">
        <v>0</v>
      </c>
      <c r="V17" s="35">
        <f t="shared" si="7"/>
        <v>0</v>
      </c>
      <c r="W17" s="41" t="s">
        <v>14</v>
      </c>
    </row>
    <row r="18" spans="1:23" ht="22.5" x14ac:dyDescent="0.25">
      <c r="A18" s="215">
        <v>11</v>
      </c>
      <c r="B18" s="81">
        <v>2022</v>
      </c>
      <c r="C18" s="155" t="s">
        <v>513</v>
      </c>
      <c r="D18" s="83">
        <f t="shared" si="2"/>
        <v>15235.74</v>
      </c>
      <c r="E18" s="84">
        <v>15235.74</v>
      </c>
      <c r="F18" s="88">
        <f t="shared" si="3"/>
        <v>1</v>
      </c>
      <c r="G18" s="86">
        <v>0</v>
      </c>
      <c r="H18" s="105">
        <f t="shared" si="4"/>
        <v>0</v>
      </c>
      <c r="I18" s="84">
        <v>0</v>
      </c>
      <c r="J18" s="84">
        <v>0</v>
      </c>
      <c r="K18" s="88">
        <f t="shared" si="1"/>
        <v>0</v>
      </c>
      <c r="L18" s="77" t="s">
        <v>14</v>
      </c>
      <c r="M18" s="52"/>
      <c r="O18" s="10">
        <f>P18+R18</f>
        <v>15236</v>
      </c>
      <c r="P18" s="10">
        <v>15236</v>
      </c>
      <c r="Q18" s="17">
        <f t="shared" si="5"/>
        <v>1</v>
      </c>
      <c r="R18" s="6">
        <v>0</v>
      </c>
      <c r="S18" s="12">
        <f t="shared" si="6"/>
        <v>0</v>
      </c>
      <c r="T18" s="7">
        <v>0</v>
      </c>
      <c r="U18" s="7">
        <v>0</v>
      </c>
      <c r="V18" s="17">
        <v>0</v>
      </c>
      <c r="W18" s="7" t="s">
        <v>14</v>
      </c>
    </row>
    <row r="19" spans="1:23" ht="45" x14ac:dyDescent="0.25">
      <c r="A19" s="215">
        <v>12</v>
      </c>
      <c r="B19" s="97">
        <v>2022</v>
      </c>
      <c r="C19" s="92" t="s">
        <v>318</v>
      </c>
      <c r="D19" s="83">
        <f t="shared" si="2"/>
        <v>127674</v>
      </c>
      <c r="E19" s="84">
        <v>20541</v>
      </c>
      <c r="F19" s="88">
        <f t="shared" si="3"/>
        <v>0.16</v>
      </c>
      <c r="G19" s="86">
        <v>20541</v>
      </c>
      <c r="H19" s="105">
        <f t="shared" si="4"/>
        <v>0.16</v>
      </c>
      <c r="I19" s="84">
        <v>86592</v>
      </c>
      <c r="J19" s="84">
        <v>0</v>
      </c>
      <c r="K19" s="88">
        <f t="shared" si="1"/>
        <v>0.68</v>
      </c>
      <c r="L19" s="310" t="s">
        <v>14</v>
      </c>
      <c r="O19" s="39">
        <v>127674</v>
      </c>
      <c r="P19" s="39">
        <v>20541</v>
      </c>
      <c r="Q19" s="36">
        <f t="shared" si="5"/>
        <v>0.16</v>
      </c>
      <c r="R19" s="37">
        <v>20541</v>
      </c>
      <c r="S19" s="38">
        <f t="shared" si="6"/>
        <v>0.16</v>
      </c>
      <c r="T19" s="39">
        <v>86592</v>
      </c>
      <c r="U19" s="39">
        <v>0</v>
      </c>
      <c r="V19" s="36">
        <f>T19/O19</f>
        <v>0.68</v>
      </c>
      <c r="W19" s="39" t="s">
        <v>14</v>
      </c>
    </row>
    <row r="20" spans="1:23" ht="45" x14ac:dyDescent="0.25">
      <c r="A20" s="215">
        <v>13</v>
      </c>
      <c r="B20" s="81" t="s">
        <v>517</v>
      </c>
      <c r="C20" s="89" t="s">
        <v>319</v>
      </c>
      <c r="D20" s="83">
        <f t="shared" si="2"/>
        <v>430500</v>
      </c>
      <c r="E20" s="84">
        <f>56272.5+72877.5+86100</f>
        <v>215250</v>
      </c>
      <c r="F20" s="88">
        <f t="shared" si="3"/>
        <v>0.5</v>
      </c>
      <c r="G20" s="86">
        <f>56272.5+72877.5+86100</f>
        <v>215250</v>
      </c>
      <c r="H20" s="105">
        <f t="shared" si="4"/>
        <v>0.5</v>
      </c>
      <c r="I20" s="84">
        <v>0</v>
      </c>
      <c r="J20" s="84">
        <v>0</v>
      </c>
      <c r="K20" s="88">
        <f t="shared" si="1"/>
        <v>0</v>
      </c>
      <c r="L20" s="235" t="s">
        <v>14</v>
      </c>
      <c r="O20" s="3">
        <f>P20+R20</f>
        <v>430500</v>
      </c>
      <c r="P20" s="3">
        <v>215250</v>
      </c>
      <c r="Q20" s="27">
        <f t="shared" si="5"/>
        <v>0.5</v>
      </c>
      <c r="R20" s="4">
        <v>215250</v>
      </c>
      <c r="S20" s="24">
        <f t="shared" si="6"/>
        <v>0.5</v>
      </c>
      <c r="T20" s="3">
        <v>0</v>
      </c>
      <c r="U20" s="3">
        <v>0</v>
      </c>
      <c r="V20" s="27">
        <v>0</v>
      </c>
      <c r="W20" s="3" t="s">
        <v>14</v>
      </c>
    </row>
    <row r="21" spans="1:23" ht="33.75" x14ac:dyDescent="0.25">
      <c r="A21" s="215">
        <v>14</v>
      </c>
      <c r="B21" s="97">
        <v>2023</v>
      </c>
      <c r="C21" s="92" t="s">
        <v>320</v>
      </c>
      <c r="D21" s="106">
        <f t="shared" si="2"/>
        <v>419299.29</v>
      </c>
      <c r="E21" s="93">
        <v>17681.89</v>
      </c>
      <c r="F21" s="107">
        <f t="shared" si="3"/>
        <v>0.04</v>
      </c>
      <c r="G21" s="94">
        <v>17681.88</v>
      </c>
      <c r="H21" s="112">
        <f t="shared" si="4"/>
        <v>0.04</v>
      </c>
      <c r="I21" s="93">
        <v>0</v>
      </c>
      <c r="J21" s="93">
        <v>383935.52</v>
      </c>
      <c r="K21" s="107">
        <f t="shared" si="1"/>
        <v>0.92</v>
      </c>
      <c r="L21" s="310" t="s">
        <v>14</v>
      </c>
      <c r="O21" s="39">
        <f>P21+R21+U21</f>
        <v>419300</v>
      </c>
      <c r="P21" s="39">
        <v>17682</v>
      </c>
      <c r="Q21" s="36">
        <f t="shared" si="5"/>
        <v>0.04</v>
      </c>
      <c r="R21" s="37">
        <v>17682</v>
      </c>
      <c r="S21" s="38">
        <f t="shared" si="6"/>
        <v>0.04</v>
      </c>
      <c r="T21" s="39">
        <v>0</v>
      </c>
      <c r="U21" s="39">
        <v>383936</v>
      </c>
      <c r="V21" s="36">
        <f>U21/O21</f>
        <v>0.92</v>
      </c>
      <c r="W21" s="39" t="s">
        <v>14</v>
      </c>
    </row>
    <row r="22" spans="1:23" ht="90" x14ac:dyDescent="0.25">
      <c r="A22" s="215">
        <v>15</v>
      </c>
      <c r="B22" s="81" t="s">
        <v>516</v>
      </c>
      <c r="C22" s="82" t="s">
        <v>483</v>
      </c>
      <c r="D22" s="83">
        <f t="shared" ref="D22" si="12">E22+G22+I22+J22</f>
        <v>186440.94</v>
      </c>
      <c r="E22" s="84">
        <v>43528.47</v>
      </c>
      <c r="F22" s="88">
        <f t="shared" ref="F22" si="13">E22/D22</f>
        <v>0.23</v>
      </c>
      <c r="G22" s="86">
        <v>43528.47</v>
      </c>
      <c r="H22" s="105">
        <f t="shared" ref="H22" si="14">G22/D22</f>
        <v>0.23</v>
      </c>
      <c r="I22" s="84">
        <v>99384</v>
      </c>
      <c r="J22" s="84">
        <v>0</v>
      </c>
      <c r="K22" s="88">
        <f t="shared" ref="K22" si="15">(I22+J22)/D22</f>
        <v>0.53</v>
      </c>
      <c r="L22" s="235" t="s">
        <v>14</v>
      </c>
      <c r="M22" s="115"/>
    </row>
    <row r="23" spans="1:23" ht="33.75" x14ac:dyDescent="0.25">
      <c r="A23" s="215">
        <v>16</v>
      </c>
      <c r="B23" s="284">
        <v>2025</v>
      </c>
      <c r="C23" s="158" t="s">
        <v>438</v>
      </c>
      <c r="D23" s="161">
        <f t="shared" ref="D23" si="16">E23+G23+I23+J23</f>
        <v>293434.95</v>
      </c>
      <c r="E23" s="84">
        <v>293434.95</v>
      </c>
      <c r="F23" s="230">
        <f t="shared" ref="F23" si="17">E23/D23</f>
        <v>1</v>
      </c>
      <c r="G23" s="86">
        <v>0</v>
      </c>
      <c r="H23" s="231">
        <f t="shared" ref="H23" si="18">G23/D23</f>
        <v>0</v>
      </c>
      <c r="I23" s="84">
        <v>0</v>
      </c>
      <c r="J23" s="84">
        <v>0</v>
      </c>
      <c r="K23" s="230">
        <f t="shared" ref="K23" si="19">(I23+J23)/D23</f>
        <v>0</v>
      </c>
      <c r="L23" s="311" t="s">
        <v>14</v>
      </c>
    </row>
    <row r="24" spans="1:23" x14ac:dyDescent="0.25">
      <c r="A24" s="372" t="s">
        <v>34</v>
      </c>
      <c r="B24" s="373"/>
      <c r="C24" s="374"/>
      <c r="D24" s="188">
        <f>SUM(D8:D23)</f>
        <v>7215231.4199999999</v>
      </c>
      <c r="E24" s="188">
        <f>SUM(E8:E23)</f>
        <v>2615681.61</v>
      </c>
      <c r="F24" s="193">
        <f>E24/D24</f>
        <v>0.36</v>
      </c>
      <c r="G24" s="188">
        <f>SUM(G8:G23)</f>
        <v>2303767.48</v>
      </c>
      <c r="H24" s="194">
        <f>G24/D24</f>
        <v>0.32</v>
      </c>
      <c r="I24" s="188">
        <f>SUM(I8:I23)</f>
        <v>1911846.81</v>
      </c>
      <c r="J24" s="188">
        <f>SUM(J8:J23)</f>
        <v>383935.52</v>
      </c>
      <c r="K24" s="193">
        <f>(I24+J24)/D24</f>
        <v>0.32</v>
      </c>
      <c r="L24" s="195" t="s">
        <v>35</v>
      </c>
    </row>
  </sheetData>
  <mergeCells count="18">
    <mergeCell ref="I5:I6"/>
    <mergeCell ref="J5:J6"/>
    <mergeCell ref="K5:K6"/>
    <mergeCell ref="A24:C24"/>
    <mergeCell ref="A2:L2"/>
    <mergeCell ref="A3:A6"/>
    <mergeCell ref="B3:B6"/>
    <mergeCell ref="C3:C6"/>
    <mergeCell ref="D3:D6"/>
    <mergeCell ref="E3:K3"/>
    <mergeCell ref="L3:L6"/>
    <mergeCell ref="E4:F4"/>
    <mergeCell ref="G4:H4"/>
    <mergeCell ref="I4:K4"/>
    <mergeCell ref="E5:E6"/>
    <mergeCell ref="F5:F6"/>
    <mergeCell ref="G5:G6"/>
    <mergeCell ref="H5:H6"/>
  </mergeCells>
  <phoneticPr fontId="1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W29"/>
  <sheetViews>
    <sheetView topLeftCell="D14" workbookViewId="0">
      <selection activeCell="N22" sqref="N1:X22"/>
    </sheetView>
  </sheetViews>
  <sheetFormatPr defaultRowHeight="15" x14ac:dyDescent="0.25"/>
  <cols>
    <col min="1" max="1" width="9.140625" style="50"/>
    <col min="2" max="2" width="15.7109375" style="50" customWidth="1"/>
    <col min="3" max="3" width="42.140625" customWidth="1"/>
    <col min="4" max="4" width="14" style="54" customWidth="1"/>
    <col min="5" max="5" width="12.42578125" style="54" bestFit="1" customWidth="1"/>
    <col min="6" max="6" width="14.85546875" customWidth="1"/>
    <col min="7" max="7" width="12.42578125" style="54" bestFit="1" customWidth="1"/>
    <col min="8" max="8" width="13.28515625" customWidth="1"/>
    <col min="9" max="9" width="16.140625" style="54" customWidth="1"/>
    <col min="10" max="10" width="11" style="54" bestFit="1" customWidth="1"/>
    <col min="11" max="11" width="15" customWidth="1"/>
    <col min="12" max="12" width="17.85546875" style="50" customWidth="1"/>
    <col min="13" max="13" width="14.85546875" bestFit="1" customWidth="1"/>
    <col min="14" max="14" width="11.28515625" bestFit="1" customWidth="1"/>
  </cols>
  <sheetData>
    <row r="2" spans="1:23" ht="58.5" customHeight="1" x14ac:dyDescent="0.25">
      <c r="A2" s="338" t="s">
        <v>321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23" x14ac:dyDescent="0.25">
      <c r="A3" s="343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23" ht="33.75" customHeight="1" x14ac:dyDescent="0.25">
      <c r="A4" s="344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23" x14ac:dyDescent="0.25">
      <c r="A5" s="344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23" x14ac:dyDescent="0.25">
      <c r="A6" s="345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23" x14ac:dyDescent="0.25">
      <c r="A7" s="1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23" ht="22.5" x14ac:dyDescent="0.25">
      <c r="A8" s="209">
        <v>1</v>
      </c>
      <c r="B8" s="81">
        <v>2015</v>
      </c>
      <c r="C8" s="82" t="s">
        <v>102</v>
      </c>
      <c r="D8" s="83">
        <f>E8+G8+I8+J8</f>
        <v>3298872.11</v>
      </c>
      <c r="E8" s="84">
        <v>829316.74</v>
      </c>
      <c r="F8" s="88">
        <f>E8/D8</f>
        <v>0.25</v>
      </c>
      <c r="G8" s="86">
        <v>829316.73</v>
      </c>
      <c r="H8" s="105">
        <f>G8/D8</f>
        <v>0.25</v>
      </c>
      <c r="I8" s="84">
        <v>1640238.64</v>
      </c>
      <c r="J8" s="84">
        <v>0</v>
      </c>
      <c r="K8" s="88">
        <f>(I8+J8)/D8</f>
        <v>0.5</v>
      </c>
      <c r="L8" s="236" t="s">
        <v>14</v>
      </c>
      <c r="O8" s="260"/>
      <c r="P8" s="260"/>
      <c r="Q8" s="262"/>
      <c r="R8" s="265"/>
      <c r="S8" s="264"/>
      <c r="T8" s="260"/>
      <c r="U8" s="265"/>
      <c r="V8" s="264"/>
      <c r="W8" s="265"/>
    </row>
    <row r="9" spans="1:23" ht="45" x14ac:dyDescent="0.25">
      <c r="A9" s="209">
        <v>2</v>
      </c>
      <c r="B9" s="81">
        <v>2016</v>
      </c>
      <c r="C9" s="82" t="s">
        <v>103</v>
      </c>
      <c r="D9" s="83">
        <f t="shared" ref="D9:D22" si="0">E9+G9+I9+J9</f>
        <v>766179</v>
      </c>
      <c r="E9" s="84">
        <v>383089.5</v>
      </c>
      <c r="F9" s="88">
        <f t="shared" ref="F9:F22" si="1">E9/D9</f>
        <v>0.5</v>
      </c>
      <c r="G9" s="86">
        <v>383089.5</v>
      </c>
      <c r="H9" s="105">
        <f t="shared" ref="H9:H22" si="2">G9/D9</f>
        <v>0.5</v>
      </c>
      <c r="I9" s="84">
        <v>0</v>
      </c>
      <c r="J9" s="84">
        <v>0</v>
      </c>
      <c r="K9" s="88">
        <f t="shared" ref="K9:K22" si="3">(I9+J9)/D9</f>
        <v>0</v>
      </c>
      <c r="L9" s="77" t="s">
        <v>14</v>
      </c>
      <c r="O9" s="248"/>
      <c r="P9" s="248"/>
      <c r="Q9" s="249"/>
      <c r="R9" s="250"/>
      <c r="S9" s="251"/>
      <c r="T9" s="252"/>
      <c r="U9" s="252"/>
      <c r="V9" s="249"/>
      <c r="W9" s="252"/>
    </row>
    <row r="10" spans="1:23" ht="33.75" x14ac:dyDescent="0.25">
      <c r="A10" s="209">
        <v>3</v>
      </c>
      <c r="B10" s="81">
        <v>2017</v>
      </c>
      <c r="C10" s="82" t="s">
        <v>104</v>
      </c>
      <c r="D10" s="83">
        <f t="shared" si="0"/>
        <v>653555.4</v>
      </c>
      <c r="E10" s="84">
        <v>326777.7</v>
      </c>
      <c r="F10" s="88">
        <f t="shared" si="1"/>
        <v>0.5</v>
      </c>
      <c r="G10" s="86">
        <v>326777.7</v>
      </c>
      <c r="H10" s="105">
        <f t="shared" si="2"/>
        <v>0.5</v>
      </c>
      <c r="I10" s="84">
        <v>0</v>
      </c>
      <c r="J10" s="84">
        <v>0</v>
      </c>
      <c r="K10" s="88">
        <f t="shared" si="3"/>
        <v>0</v>
      </c>
      <c r="L10" s="235" t="s">
        <v>14</v>
      </c>
      <c r="O10" s="248"/>
      <c r="P10" s="248"/>
      <c r="Q10" s="249"/>
      <c r="R10" s="250"/>
      <c r="S10" s="251"/>
      <c r="T10" s="252"/>
      <c r="U10" s="248"/>
      <c r="V10" s="249"/>
      <c r="W10" s="248"/>
    </row>
    <row r="11" spans="1:23" ht="33.75" x14ac:dyDescent="0.25">
      <c r="A11" s="209">
        <v>4</v>
      </c>
      <c r="B11" s="81">
        <v>2017</v>
      </c>
      <c r="C11" s="82" t="s">
        <v>105</v>
      </c>
      <c r="D11" s="83">
        <f t="shared" si="0"/>
        <v>19680</v>
      </c>
      <c r="E11" s="84">
        <v>9840</v>
      </c>
      <c r="F11" s="88">
        <f t="shared" si="1"/>
        <v>0.5</v>
      </c>
      <c r="G11" s="86">
        <v>9840</v>
      </c>
      <c r="H11" s="105">
        <f t="shared" si="2"/>
        <v>0.5</v>
      </c>
      <c r="I11" s="84">
        <v>0</v>
      </c>
      <c r="J11" s="84">
        <v>0</v>
      </c>
      <c r="K11" s="88">
        <f t="shared" si="3"/>
        <v>0</v>
      </c>
      <c r="L11" s="235" t="s">
        <v>14</v>
      </c>
      <c r="O11" s="248"/>
      <c r="P11" s="248"/>
      <c r="Q11" s="249"/>
      <c r="R11" s="250"/>
      <c r="S11" s="251"/>
      <c r="T11" s="252"/>
      <c r="U11" s="248"/>
      <c r="V11" s="249"/>
      <c r="W11" s="248"/>
    </row>
    <row r="12" spans="1:23" ht="33.75" x14ac:dyDescent="0.25">
      <c r="A12" s="209">
        <v>5</v>
      </c>
      <c r="B12" s="81">
        <v>2018</v>
      </c>
      <c r="C12" s="82" t="s">
        <v>106</v>
      </c>
      <c r="D12" s="83">
        <f t="shared" si="0"/>
        <v>1862863.11</v>
      </c>
      <c r="E12" s="84">
        <v>931431.56</v>
      </c>
      <c r="F12" s="88">
        <f t="shared" si="1"/>
        <v>0.5</v>
      </c>
      <c r="G12" s="86">
        <v>931431.55</v>
      </c>
      <c r="H12" s="105">
        <f t="shared" si="2"/>
        <v>0.5</v>
      </c>
      <c r="I12" s="84">
        <v>0</v>
      </c>
      <c r="J12" s="84">
        <v>0</v>
      </c>
      <c r="K12" s="88">
        <f t="shared" si="3"/>
        <v>0</v>
      </c>
      <c r="L12" s="235" t="s">
        <v>14</v>
      </c>
      <c r="O12" s="248"/>
      <c r="P12" s="248"/>
      <c r="Q12" s="249"/>
      <c r="R12" s="250"/>
      <c r="S12" s="251"/>
      <c r="T12" s="252"/>
      <c r="U12" s="248"/>
      <c r="V12" s="249"/>
      <c r="W12" s="248"/>
    </row>
    <row r="13" spans="1:23" ht="22.5" x14ac:dyDescent="0.25">
      <c r="A13" s="209">
        <v>6</v>
      </c>
      <c r="B13" s="81" t="s">
        <v>461</v>
      </c>
      <c r="C13" s="158" t="s">
        <v>322</v>
      </c>
      <c r="D13" s="83">
        <f t="shared" si="0"/>
        <v>1598856.06</v>
      </c>
      <c r="E13" s="84">
        <v>402912.09</v>
      </c>
      <c r="F13" s="88">
        <f t="shared" si="1"/>
        <v>0.25</v>
      </c>
      <c r="G13" s="86">
        <v>402912.08</v>
      </c>
      <c r="H13" s="105">
        <f t="shared" si="2"/>
        <v>0.25</v>
      </c>
      <c r="I13" s="84">
        <v>793031.89</v>
      </c>
      <c r="J13" s="84">
        <v>0</v>
      </c>
      <c r="K13" s="88">
        <f t="shared" si="3"/>
        <v>0.5</v>
      </c>
      <c r="L13" s="77" t="s">
        <v>14</v>
      </c>
      <c r="M13" s="52"/>
      <c r="O13" s="248"/>
      <c r="P13" s="248"/>
      <c r="Q13" s="249"/>
      <c r="R13" s="250"/>
      <c r="S13" s="251"/>
      <c r="T13" s="248"/>
      <c r="U13" s="248"/>
      <c r="V13" s="249"/>
      <c r="W13" s="252"/>
    </row>
    <row r="14" spans="1:23" ht="33.75" x14ac:dyDescent="0.25">
      <c r="A14" s="209">
        <v>7</v>
      </c>
      <c r="B14" s="81" t="s">
        <v>465</v>
      </c>
      <c r="C14" s="82" t="s">
        <v>323</v>
      </c>
      <c r="D14" s="83">
        <f t="shared" si="0"/>
        <v>76629</v>
      </c>
      <c r="E14" s="84">
        <v>38314.5</v>
      </c>
      <c r="F14" s="88">
        <f t="shared" si="1"/>
        <v>0.5</v>
      </c>
      <c r="G14" s="86">
        <v>38314.5</v>
      </c>
      <c r="H14" s="105">
        <f t="shared" si="2"/>
        <v>0.5</v>
      </c>
      <c r="I14" s="84">
        <v>0</v>
      </c>
      <c r="J14" s="84">
        <v>0</v>
      </c>
      <c r="K14" s="88">
        <f t="shared" si="3"/>
        <v>0</v>
      </c>
      <c r="L14" s="77" t="s">
        <v>14</v>
      </c>
      <c r="O14" s="248"/>
      <c r="P14" s="248"/>
      <c r="Q14" s="249"/>
      <c r="R14" s="250"/>
      <c r="S14" s="251"/>
      <c r="T14" s="252"/>
      <c r="U14" s="252"/>
      <c r="V14" s="249"/>
      <c r="W14" s="252"/>
    </row>
    <row r="15" spans="1:23" ht="33.75" x14ac:dyDescent="0.25">
      <c r="A15" s="209">
        <v>8</v>
      </c>
      <c r="B15" s="81">
        <v>2021</v>
      </c>
      <c r="C15" s="82" t="s">
        <v>472</v>
      </c>
      <c r="D15" s="83">
        <f t="shared" ref="D15" si="4">E15+G15+I15+J15</f>
        <v>252531.92</v>
      </c>
      <c r="E15" s="84">
        <v>126265.96</v>
      </c>
      <c r="F15" s="88">
        <f t="shared" ref="F15" si="5">E15/D15</f>
        <v>0.5</v>
      </c>
      <c r="G15" s="86">
        <v>126265.96</v>
      </c>
      <c r="H15" s="105">
        <f t="shared" ref="H15" si="6">G15/D15</f>
        <v>0.5</v>
      </c>
      <c r="I15" s="84">
        <v>0</v>
      </c>
      <c r="J15" s="84">
        <v>0</v>
      </c>
      <c r="K15" s="88">
        <f t="shared" ref="K15" si="7">(I15+J15)/D15</f>
        <v>0</v>
      </c>
      <c r="L15" s="77" t="s">
        <v>14</v>
      </c>
      <c r="M15" s="115"/>
      <c r="O15" s="248"/>
      <c r="P15" s="248"/>
      <c r="Q15" s="249"/>
      <c r="R15" s="250"/>
      <c r="S15" s="251"/>
      <c r="T15" s="252"/>
      <c r="U15" s="252"/>
      <c r="V15" s="249"/>
      <c r="W15" s="252"/>
    </row>
    <row r="16" spans="1:23" ht="22.5" x14ac:dyDescent="0.25">
      <c r="A16" s="209">
        <v>9</v>
      </c>
      <c r="B16" s="81">
        <v>2022</v>
      </c>
      <c r="C16" s="158" t="s">
        <v>324</v>
      </c>
      <c r="D16" s="83">
        <f t="shared" si="0"/>
        <v>4931733.46</v>
      </c>
      <c r="E16" s="86">
        <v>1340114.43</v>
      </c>
      <c r="F16" s="88">
        <f t="shared" si="1"/>
        <v>0.27</v>
      </c>
      <c r="G16" s="86">
        <v>1340114.43</v>
      </c>
      <c r="H16" s="105">
        <f t="shared" si="2"/>
        <v>0.27</v>
      </c>
      <c r="I16" s="84">
        <v>2251504.6</v>
      </c>
      <c r="J16" s="84">
        <v>0</v>
      </c>
      <c r="K16" s="88">
        <f t="shared" si="3"/>
        <v>0.46</v>
      </c>
      <c r="L16" s="235" t="s">
        <v>14</v>
      </c>
      <c r="M16" s="115"/>
      <c r="O16" s="248"/>
      <c r="P16" s="248"/>
      <c r="Q16" s="249"/>
      <c r="R16" s="250"/>
      <c r="S16" s="251"/>
      <c r="T16" s="248"/>
      <c r="U16" s="248"/>
      <c r="V16" s="249"/>
      <c r="W16" s="248"/>
    </row>
    <row r="17" spans="1:23" ht="33.75" x14ac:dyDescent="0.25">
      <c r="A17" s="209">
        <v>10</v>
      </c>
      <c r="B17" s="81" t="s">
        <v>515</v>
      </c>
      <c r="C17" s="158" t="s">
        <v>325</v>
      </c>
      <c r="D17" s="83">
        <f t="shared" si="0"/>
        <v>224352</v>
      </c>
      <c r="E17" s="84">
        <f>20295+91881</f>
        <v>112176</v>
      </c>
      <c r="F17" s="88">
        <f t="shared" si="1"/>
        <v>0.5</v>
      </c>
      <c r="G17" s="86">
        <f>20295+91881</f>
        <v>112176</v>
      </c>
      <c r="H17" s="105">
        <f t="shared" si="2"/>
        <v>0.5</v>
      </c>
      <c r="I17" s="84">
        <v>0</v>
      </c>
      <c r="J17" s="84">
        <v>0</v>
      </c>
      <c r="K17" s="88">
        <f t="shared" si="3"/>
        <v>0</v>
      </c>
      <c r="L17" s="235" t="s">
        <v>14</v>
      </c>
      <c r="O17" s="248"/>
      <c r="P17" s="248"/>
      <c r="Q17" s="249"/>
      <c r="R17" s="250"/>
      <c r="S17" s="251"/>
      <c r="T17" s="252"/>
      <c r="U17" s="248"/>
      <c r="V17" s="249"/>
      <c r="W17" s="248"/>
    </row>
    <row r="18" spans="1:23" ht="33.75" x14ac:dyDescent="0.25">
      <c r="A18" s="209">
        <v>11</v>
      </c>
      <c r="B18" s="81">
        <v>2022</v>
      </c>
      <c r="C18" s="82" t="s">
        <v>326</v>
      </c>
      <c r="D18" s="83">
        <f t="shared" si="0"/>
        <v>117735.6</v>
      </c>
      <c r="E18" s="84">
        <v>15571.8</v>
      </c>
      <c r="F18" s="88">
        <f t="shared" si="1"/>
        <v>0.13</v>
      </c>
      <c r="G18" s="86">
        <v>15571.8</v>
      </c>
      <c r="H18" s="105">
        <f t="shared" si="2"/>
        <v>0.13</v>
      </c>
      <c r="I18" s="84">
        <v>86592</v>
      </c>
      <c r="J18" s="84">
        <v>0</v>
      </c>
      <c r="K18" s="88">
        <f t="shared" si="3"/>
        <v>0.74</v>
      </c>
      <c r="L18" s="235" t="s">
        <v>14</v>
      </c>
      <c r="M18" s="115"/>
      <c r="O18" s="248"/>
      <c r="P18" s="248"/>
      <c r="Q18" s="249"/>
      <c r="R18" s="250"/>
      <c r="S18" s="251"/>
      <c r="T18" s="248"/>
      <c r="U18" s="248"/>
      <c r="V18" s="249"/>
      <c r="W18" s="248"/>
    </row>
    <row r="19" spans="1:23" ht="33.75" x14ac:dyDescent="0.25">
      <c r="A19" s="209">
        <v>12</v>
      </c>
      <c r="B19" s="81">
        <v>2022</v>
      </c>
      <c r="C19" s="82" t="s">
        <v>327</v>
      </c>
      <c r="D19" s="83">
        <f t="shared" si="0"/>
        <v>109691.4</v>
      </c>
      <c r="E19" s="84">
        <v>28769.7</v>
      </c>
      <c r="F19" s="88">
        <f t="shared" si="1"/>
        <v>0.26</v>
      </c>
      <c r="G19" s="86">
        <v>28769.7</v>
      </c>
      <c r="H19" s="105">
        <f t="shared" si="2"/>
        <v>0.26</v>
      </c>
      <c r="I19" s="84">
        <v>52152</v>
      </c>
      <c r="J19" s="84">
        <v>0</v>
      </c>
      <c r="K19" s="88">
        <f t="shared" si="3"/>
        <v>0.48</v>
      </c>
      <c r="L19" s="235" t="s">
        <v>14</v>
      </c>
      <c r="O19" s="248"/>
      <c r="P19" s="248"/>
      <c r="Q19" s="249"/>
      <c r="R19" s="250"/>
      <c r="S19" s="251"/>
      <c r="T19" s="248"/>
      <c r="U19" s="248"/>
      <c r="V19" s="249"/>
      <c r="W19" s="248"/>
    </row>
    <row r="20" spans="1:23" ht="33.75" x14ac:dyDescent="0.25">
      <c r="A20" s="209">
        <v>13</v>
      </c>
      <c r="B20" s="81">
        <v>2022</v>
      </c>
      <c r="C20" s="82" t="s">
        <v>328</v>
      </c>
      <c r="D20" s="83">
        <f t="shared" si="0"/>
        <v>119740.5</v>
      </c>
      <c r="E20" s="84">
        <v>16574.25</v>
      </c>
      <c r="F20" s="88">
        <f t="shared" si="1"/>
        <v>0.14000000000000001</v>
      </c>
      <c r="G20" s="86">
        <v>16574.25</v>
      </c>
      <c r="H20" s="105">
        <f t="shared" si="2"/>
        <v>0.14000000000000001</v>
      </c>
      <c r="I20" s="84">
        <v>86592</v>
      </c>
      <c r="J20" s="84">
        <v>0</v>
      </c>
      <c r="K20" s="88">
        <f t="shared" si="3"/>
        <v>0.72</v>
      </c>
      <c r="L20" s="235" t="s">
        <v>14</v>
      </c>
      <c r="O20" s="248"/>
      <c r="P20" s="248"/>
      <c r="Q20" s="249"/>
      <c r="R20" s="250"/>
      <c r="S20" s="251"/>
      <c r="T20" s="248"/>
      <c r="U20" s="248"/>
      <c r="V20" s="249"/>
      <c r="W20" s="248"/>
    </row>
    <row r="21" spans="1:23" ht="33.75" x14ac:dyDescent="0.25">
      <c r="A21" s="209">
        <v>14</v>
      </c>
      <c r="B21" s="81" t="s">
        <v>516</v>
      </c>
      <c r="C21" s="155" t="s">
        <v>329</v>
      </c>
      <c r="D21" s="83">
        <f t="shared" si="0"/>
        <v>143910</v>
      </c>
      <c r="E21" s="84">
        <f>20295+51660</f>
        <v>71955</v>
      </c>
      <c r="F21" s="88">
        <f t="shared" si="1"/>
        <v>0.5</v>
      </c>
      <c r="G21" s="86">
        <f>20295+51660</f>
        <v>71955</v>
      </c>
      <c r="H21" s="105">
        <f t="shared" si="2"/>
        <v>0.5</v>
      </c>
      <c r="I21" s="84">
        <v>0</v>
      </c>
      <c r="J21" s="84">
        <v>0</v>
      </c>
      <c r="K21" s="88">
        <f t="shared" si="3"/>
        <v>0</v>
      </c>
      <c r="L21" s="77" t="s">
        <v>14</v>
      </c>
      <c r="O21" s="254"/>
      <c r="P21" s="254"/>
      <c r="Q21" s="255"/>
      <c r="R21" s="256"/>
      <c r="S21" s="257"/>
      <c r="T21" s="254"/>
      <c r="U21" s="254"/>
      <c r="V21" s="255"/>
      <c r="W21" s="258"/>
    </row>
    <row r="22" spans="1:23" ht="22.5" x14ac:dyDescent="0.25">
      <c r="A22" s="209">
        <v>15</v>
      </c>
      <c r="B22" s="81">
        <v>2023</v>
      </c>
      <c r="C22" s="82" t="s">
        <v>330</v>
      </c>
      <c r="D22" s="83">
        <f t="shared" si="0"/>
        <v>830610.02</v>
      </c>
      <c r="E22" s="84">
        <v>35026.89</v>
      </c>
      <c r="F22" s="88">
        <f t="shared" si="1"/>
        <v>0.04</v>
      </c>
      <c r="G22" s="86">
        <v>35026.89</v>
      </c>
      <c r="H22" s="105">
        <f t="shared" si="2"/>
        <v>0.04</v>
      </c>
      <c r="I22" s="84">
        <v>0</v>
      </c>
      <c r="J22" s="84">
        <v>760556.24</v>
      </c>
      <c r="K22" s="88">
        <f t="shared" si="3"/>
        <v>0.92</v>
      </c>
      <c r="L22" s="235" t="s">
        <v>14</v>
      </c>
      <c r="O22" s="248"/>
      <c r="P22" s="248"/>
      <c r="Q22" s="249"/>
      <c r="R22" s="250"/>
      <c r="S22" s="251"/>
      <c r="T22" s="248"/>
      <c r="U22" s="248"/>
      <c r="V22" s="249"/>
      <c r="W22" s="248"/>
    </row>
    <row r="23" spans="1:23" ht="33.75" x14ac:dyDescent="0.25">
      <c r="A23" s="209">
        <v>16</v>
      </c>
      <c r="B23" s="81" t="s">
        <v>516</v>
      </c>
      <c r="C23" s="82" t="s">
        <v>421</v>
      </c>
      <c r="D23" s="83">
        <f t="shared" ref="D23" si="8">E23+G23+I23+J23</f>
        <v>3887665.18</v>
      </c>
      <c r="E23" s="86">
        <v>991195.85</v>
      </c>
      <c r="F23" s="88">
        <f t="shared" ref="F23" si="9">E23/D23</f>
        <v>0.25</v>
      </c>
      <c r="G23" s="86">
        <v>991195.85</v>
      </c>
      <c r="H23" s="105">
        <f t="shared" ref="H23" si="10">G23/D23</f>
        <v>0.25</v>
      </c>
      <c r="I23" s="84">
        <v>1905273.48</v>
      </c>
      <c r="J23" s="84">
        <v>0</v>
      </c>
      <c r="K23" s="88">
        <f t="shared" ref="K23" si="11">(I23+J23)/D23</f>
        <v>0.49</v>
      </c>
      <c r="L23" s="235" t="s">
        <v>14</v>
      </c>
    </row>
    <row r="24" spans="1:23" ht="33.75" x14ac:dyDescent="0.25">
      <c r="A24" s="209">
        <v>17</v>
      </c>
      <c r="B24" s="81">
        <v>2024</v>
      </c>
      <c r="C24" s="158" t="s">
        <v>422</v>
      </c>
      <c r="D24" s="83">
        <f t="shared" ref="D24:D26" si="12">E24+G24+I24+J24</f>
        <v>111142.8</v>
      </c>
      <c r="E24" s="84">
        <v>111142.8</v>
      </c>
      <c r="F24" s="88">
        <f t="shared" ref="F24:F26" si="13">E24/D24</f>
        <v>1</v>
      </c>
      <c r="G24" s="86">
        <v>0</v>
      </c>
      <c r="H24" s="105">
        <f t="shared" ref="H24:H26" si="14">G24/D24</f>
        <v>0</v>
      </c>
      <c r="I24" s="84">
        <v>0</v>
      </c>
      <c r="J24" s="84">
        <v>0</v>
      </c>
      <c r="K24" s="88">
        <f t="shared" ref="K24:K26" si="15">(I24+J24)/D24</f>
        <v>0</v>
      </c>
      <c r="L24" s="235" t="s">
        <v>14</v>
      </c>
      <c r="N24" s="115"/>
    </row>
    <row r="25" spans="1:23" ht="33.75" x14ac:dyDescent="0.25">
      <c r="A25" s="209">
        <v>18</v>
      </c>
      <c r="B25" s="81" t="s">
        <v>502</v>
      </c>
      <c r="C25" s="82" t="s">
        <v>423</v>
      </c>
      <c r="D25" s="83">
        <f t="shared" si="12"/>
        <v>196490.04</v>
      </c>
      <c r="E25" s="84">
        <f>58106.43+40138.59</f>
        <v>98245.02</v>
      </c>
      <c r="F25" s="88">
        <f t="shared" si="13"/>
        <v>0.5</v>
      </c>
      <c r="G25" s="86">
        <v>98245.02</v>
      </c>
      <c r="H25" s="105">
        <f t="shared" si="14"/>
        <v>0.5</v>
      </c>
      <c r="I25" s="84">
        <v>0</v>
      </c>
      <c r="J25" s="84">
        <v>0</v>
      </c>
      <c r="K25" s="88">
        <f t="shared" si="15"/>
        <v>0</v>
      </c>
      <c r="L25" s="235" t="s">
        <v>14</v>
      </c>
    </row>
    <row r="26" spans="1:23" ht="33.75" x14ac:dyDescent="0.25">
      <c r="A26" s="209">
        <v>19</v>
      </c>
      <c r="B26" s="81" t="s">
        <v>502</v>
      </c>
      <c r="C26" s="158" t="s">
        <v>424</v>
      </c>
      <c r="D26" s="83">
        <f t="shared" si="12"/>
        <v>227058</v>
      </c>
      <c r="E26" s="84">
        <v>113529</v>
      </c>
      <c r="F26" s="88">
        <f t="shared" si="13"/>
        <v>0.5</v>
      </c>
      <c r="G26" s="86">
        <f>27121.5+86407.5</f>
        <v>113529</v>
      </c>
      <c r="H26" s="105">
        <f t="shared" si="14"/>
        <v>0.5</v>
      </c>
      <c r="I26" s="84">
        <v>0</v>
      </c>
      <c r="J26" s="84">
        <v>0</v>
      </c>
      <c r="K26" s="88">
        <f t="shared" si="15"/>
        <v>0</v>
      </c>
      <c r="L26" s="235" t="s">
        <v>14</v>
      </c>
    </row>
    <row r="27" spans="1:23" ht="33.75" x14ac:dyDescent="0.25">
      <c r="A27" s="209">
        <v>20</v>
      </c>
      <c r="B27" s="81" t="s">
        <v>502</v>
      </c>
      <c r="C27" s="82" t="s">
        <v>439</v>
      </c>
      <c r="D27" s="83">
        <f t="shared" ref="D27:D28" si="16">E27+G27+I27+J27</f>
        <v>5743957.7699999996</v>
      </c>
      <c r="E27" s="84">
        <v>1848093.26</v>
      </c>
      <c r="F27" s="88">
        <f t="shared" ref="F27:F28" si="17">E27/D27</f>
        <v>0.32</v>
      </c>
      <c r="G27" s="86">
        <v>0</v>
      </c>
      <c r="H27" s="105">
        <f t="shared" ref="H27:H28" si="18">G27/D27</f>
        <v>0</v>
      </c>
      <c r="I27" s="84">
        <v>3895864.51</v>
      </c>
      <c r="J27" s="84">
        <v>0</v>
      </c>
      <c r="K27" s="88">
        <f t="shared" ref="K27:K28" si="19">(I27+J27)/D27</f>
        <v>0.68</v>
      </c>
      <c r="L27" s="235" t="s">
        <v>14</v>
      </c>
    </row>
    <row r="28" spans="1:23" ht="33.75" x14ac:dyDescent="0.25">
      <c r="A28" s="209">
        <v>21</v>
      </c>
      <c r="B28" s="81" t="s">
        <v>502</v>
      </c>
      <c r="C28" s="82" t="s">
        <v>440</v>
      </c>
      <c r="D28" s="83">
        <f t="shared" si="16"/>
        <v>196490.04</v>
      </c>
      <c r="E28" s="84">
        <v>98245.02</v>
      </c>
      <c r="F28" s="88">
        <f t="shared" si="17"/>
        <v>0.5</v>
      </c>
      <c r="G28" s="86">
        <v>98245.02</v>
      </c>
      <c r="H28" s="105">
        <f t="shared" si="18"/>
        <v>0.5</v>
      </c>
      <c r="I28" s="84">
        <v>0</v>
      </c>
      <c r="J28" s="84">
        <v>0</v>
      </c>
      <c r="K28" s="88">
        <f t="shared" si="19"/>
        <v>0</v>
      </c>
      <c r="L28" s="235" t="s">
        <v>14</v>
      </c>
    </row>
    <row r="29" spans="1:23" x14ac:dyDescent="0.25">
      <c r="A29" s="375" t="s">
        <v>34</v>
      </c>
      <c r="B29" s="375"/>
      <c r="C29" s="375"/>
      <c r="D29" s="192">
        <f>SUM(D8:D28)</f>
        <v>25369743.41</v>
      </c>
      <c r="E29" s="192">
        <f>SUM(E8:E28)</f>
        <v>7928587.0700000003</v>
      </c>
      <c r="F29" s="189">
        <f>E29/D29</f>
        <v>0.31</v>
      </c>
      <c r="G29" s="192">
        <f>SUM(G8:G28)</f>
        <v>5969350.9800000004</v>
      </c>
      <c r="H29" s="190">
        <f>G29/D29</f>
        <v>0.24</v>
      </c>
      <c r="I29" s="192">
        <f>SUM(I8:I28)</f>
        <v>10711249.119999999</v>
      </c>
      <c r="J29" s="192">
        <f>SUM(J8:J28)</f>
        <v>760556.24</v>
      </c>
      <c r="K29" s="189">
        <f>(I29+J29)/D29</f>
        <v>0.45</v>
      </c>
      <c r="L29" s="191" t="s">
        <v>35</v>
      </c>
    </row>
  </sheetData>
  <mergeCells count="18">
    <mergeCell ref="A29:C29"/>
    <mergeCell ref="L3:L6"/>
    <mergeCell ref="H5:H6"/>
    <mergeCell ref="I5:I6"/>
    <mergeCell ref="J5:J6"/>
    <mergeCell ref="K5:K6"/>
    <mergeCell ref="A3:A6"/>
    <mergeCell ref="B3:B6"/>
    <mergeCell ref="C3:C6"/>
    <mergeCell ref="D3:D6"/>
    <mergeCell ref="E3:K3"/>
    <mergeCell ref="A2:L2"/>
    <mergeCell ref="E4:F4"/>
    <mergeCell ref="G4:H4"/>
    <mergeCell ref="I4:K4"/>
    <mergeCell ref="E5:E6"/>
    <mergeCell ref="F5:F6"/>
    <mergeCell ref="G5:G6"/>
  </mergeCells>
  <phoneticPr fontId="19" type="noConversion"/>
  <pageMargins left="0.7" right="0.7" top="0.75" bottom="0.75" header="0.3" footer="0.3"/>
  <ignoredErrors>
    <ignoredError sqref="F17 F21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45"/>
  <sheetViews>
    <sheetView topLeftCell="B34" zoomScale="110" zoomScaleNormal="110" workbookViewId="0">
      <selection activeCell="C33" sqref="C33"/>
    </sheetView>
  </sheetViews>
  <sheetFormatPr defaultRowHeight="15" x14ac:dyDescent="0.25"/>
  <cols>
    <col min="1" max="1" width="9.140625" style="232"/>
    <col min="2" max="2" width="16.5703125" style="50" customWidth="1"/>
    <col min="3" max="3" width="52.7109375" customWidth="1"/>
    <col min="4" max="4" width="14.7109375" style="54" customWidth="1"/>
    <col min="5" max="5" width="13.85546875" style="54" customWidth="1"/>
    <col min="6" max="6" width="11.7109375" customWidth="1"/>
    <col min="7" max="7" width="14.7109375" style="54" customWidth="1"/>
    <col min="8" max="8" width="14.5703125" customWidth="1"/>
    <col min="9" max="9" width="14.7109375" style="54" customWidth="1"/>
    <col min="10" max="10" width="13" style="54" customWidth="1"/>
    <col min="11" max="11" width="14.85546875" style="50" customWidth="1"/>
    <col min="12" max="12" width="17.85546875" style="50" customWidth="1"/>
    <col min="13" max="14" width="13.5703125" bestFit="1" customWidth="1"/>
  </cols>
  <sheetData>
    <row r="2" spans="1:14" ht="58.5" customHeight="1" x14ac:dyDescent="0.25">
      <c r="A2" s="338" t="s">
        <v>490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14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14" ht="32.2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14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14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14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14" ht="21.75" customHeight="1" x14ac:dyDescent="0.25">
      <c r="A8" s="215">
        <v>1</v>
      </c>
      <c r="B8" s="97">
        <v>2015</v>
      </c>
      <c r="C8" s="92" t="s">
        <v>107</v>
      </c>
      <c r="D8" s="106">
        <f>E8+G8+I8+J8</f>
        <v>5502702.1399999997</v>
      </c>
      <c r="E8" s="93">
        <v>1551458.64</v>
      </c>
      <c r="F8" s="107">
        <f>E8/D8</f>
        <v>0.28000000000000003</v>
      </c>
      <c r="G8" s="94">
        <v>1550000</v>
      </c>
      <c r="H8" s="112">
        <f>G8/D8</f>
        <v>0.28000000000000003</v>
      </c>
      <c r="I8" s="93">
        <v>2401243.5</v>
      </c>
      <c r="J8" s="93">
        <v>0</v>
      </c>
      <c r="K8" s="181">
        <f>(J8+I8)/D8</f>
        <v>0.44</v>
      </c>
      <c r="L8" s="310" t="s">
        <v>14</v>
      </c>
    </row>
    <row r="9" spans="1:14" ht="33.75" x14ac:dyDescent="0.25">
      <c r="A9" s="215">
        <v>2</v>
      </c>
      <c r="B9" s="97">
        <v>2015</v>
      </c>
      <c r="C9" s="92" t="s">
        <v>108</v>
      </c>
      <c r="D9" s="106">
        <f t="shared" ref="D9" si="0">E9+G9+I9+J9</f>
        <v>25866.9</v>
      </c>
      <c r="E9" s="93">
        <v>8580.25</v>
      </c>
      <c r="F9" s="107">
        <f t="shared" ref="F9" si="1">E9/D9</f>
        <v>0.33</v>
      </c>
      <c r="G9" s="94">
        <v>17286.650000000001</v>
      </c>
      <c r="H9" s="112">
        <f t="shared" ref="H9" si="2">G9/D9</f>
        <v>0.67</v>
      </c>
      <c r="I9" s="93">
        <v>0</v>
      </c>
      <c r="J9" s="93">
        <v>0</v>
      </c>
      <c r="K9" s="181">
        <f t="shared" ref="K9" si="3">(J9+I9)/D9</f>
        <v>0</v>
      </c>
      <c r="L9" s="310" t="s">
        <v>14</v>
      </c>
      <c r="N9" s="115"/>
    </row>
    <row r="10" spans="1:14" ht="33.75" x14ac:dyDescent="0.25">
      <c r="A10" s="215">
        <v>3</v>
      </c>
      <c r="B10" s="97">
        <v>2015</v>
      </c>
      <c r="C10" s="92" t="s">
        <v>109</v>
      </c>
      <c r="D10" s="106">
        <f>E10+G10+I10+J10</f>
        <v>12238.5</v>
      </c>
      <c r="E10" s="93">
        <v>6119.25</v>
      </c>
      <c r="F10" s="107">
        <f t="shared" ref="F10" si="4">E10/D10</f>
        <v>0.5</v>
      </c>
      <c r="G10" s="94">
        <v>6119.25</v>
      </c>
      <c r="H10" s="112">
        <f t="shared" ref="H10" si="5">G10/D10</f>
        <v>0.5</v>
      </c>
      <c r="I10" s="93">
        <v>0</v>
      </c>
      <c r="J10" s="93">
        <v>0</v>
      </c>
      <c r="K10" s="181">
        <f t="shared" ref="K10" si="6">(J10+I10)/D10</f>
        <v>0</v>
      </c>
      <c r="L10" s="310" t="s">
        <v>14</v>
      </c>
    </row>
    <row r="11" spans="1:14" ht="24" customHeight="1" x14ac:dyDescent="0.25">
      <c r="A11" s="215">
        <v>4</v>
      </c>
      <c r="B11" s="97">
        <v>2015</v>
      </c>
      <c r="C11" s="92" t="s">
        <v>110</v>
      </c>
      <c r="D11" s="106">
        <f t="shared" ref="D11" si="7">E11+G11+I11+J11</f>
        <v>8302.5</v>
      </c>
      <c r="E11" s="93">
        <v>4151.25</v>
      </c>
      <c r="F11" s="107">
        <f t="shared" ref="F11" si="8">E11/D11</f>
        <v>0.5</v>
      </c>
      <c r="G11" s="94">
        <v>4151.25</v>
      </c>
      <c r="H11" s="112">
        <f t="shared" ref="H11" si="9">G11/D11</f>
        <v>0.5</v>
      </c>
      <c r="I11" s="93">
        <v>0</v>
      </c>
      <c r="J11" s="93">
        <v>0</v>
      </c>
      <c r="K11" s="181">
        <f t="shared" ref="K11" si="10">(J11+I11)/D11</f>
        <v>0</v>
      </c>
      <c r="L11" s="310" t="s">
        <v>14</v>
      </c>
    </row>
    <row r="12" spans="1:14" ht="22.5" x14ac:dyDescent="0.25">
      <c r="A12" s="215">
        <v>5</v>
      </c>
      <c r="B12" s="97">
        <v>2016</v>
      </c>
      <c r="C12" s="92" t="s">
        <v>111</v>
      </c>
      <c r="D12" s="106">
        <f t="shared" ref="D12" si="11">E12+G12+I12+J12</f>
        <v>242436.84</v>
      </c>
      <c r="E12" s="94">
        <v>121218.42</v>
      </c>
      <c r="F12" s="107">
        <f t="shared" ref="F12" si="12">E12/D12</f>
        <v>0.5</v>
      </c>
      <c r="G12" s="94">
        <v>121218.42</v>
      </c>
      <c r="H12" s="112">
        <f t="shared" ref="H12" si="13">G12/D12</f>
        <v>0.5</v>
      </c>
      <c r="I12" s="94">
        <v>0</v>
      </c>
      <c r="J12" s="94">
        <v>0</v>
      </c>
      <c r="K12" s="181">
        <f t="shared" ref="K12" si="14">(J12+I12)/D12</f>
        <v>0</v>
      </c>
      <c r="L12" s="236" t="s">
        <v>14</v>
      </c>
    </row>
    <row r="13" spans="1:14" ht="27" customHeight="1" x14ac:dyDescent="0.25">
      <c r="A13" s="215">
        <v>6</v>
      </c>
      <c r="B13" s="97">
        <v>2016</v>
      </c>
      <c r="C13" s="92" t="s">
        <v>112</v>
      </c>
      <c r="D13" s="106">
        <f t="shared" ref="D13" si="15">E13+G13+I13+J13</f>
        <v>129964.63</v>
      </c>
      <c r="E13" s="94">
        <v>64982.32</v>
      </c>
      <c r="F13" s="107">
        <f t="shared" ref="F13" si="16">E13/D13</f>
        <v>0.5</v>
      </c>
      <c r="G13" s="94">
        <v>64982.31</v>
      </c>
      <c r="H13" s="112">
        <f t="shared" ref="H13" si="17">G13/D13</f>
        <v>0.5</v>
      </c>
      <c r="I13" s="94">
        <v>0</v>
      </c>
      <c r="J13" s="94">
        <v>0</v>
      </c>
      <c r="K13" s="181">
        <f t="shared" ref="K13" si="18">(J13+I13)/D13</f>
        <v>0</v>
      </c>
      <c r="L13" s="236" t="s">
        <v>14</v>
      </c>
    </row>
    <row r="14" spans="1:14" ht="22.5" x14ac:dyDescent="0.25">
      <c r="A14" s="215">
        <v>7</v>
      </c>
      <c r="B14" s="81">
        <v>2016</v>
      </c>
      <c r="C14" s="82" t="s">
        <v>113</v>
      </c>
      <c r="D14" s="139">
        <f>E14+G14+I14+J14</f>
        <v>91244.77</v>
      </c>
      <c r="E14" s="113">
        <v>91244.77</v>
      </c>
      <c r="F14" s="114">
        <f>E14/D14</f>
        <v>1</v>
      </c>
      <c r="G14" s="113">
        <v>0</v>
      </c>
      <c r="H14" s="114">
        <f>G14/D14</f>
        <v>0</v>
      </c>
      <c r="I14" s="113">
        <v>0</v>
      </c>
      <c r="J14" s="113">
        <v>0</v>
      </c>
      <c r="K14" s="114">
        <f>(J14+I14)/D14</f>
        <v>0</v>
      </c>
      <c r="L14" s="77" t="s">
        <v>14</v>
      </c>
    </row>
    <row r="15" spans="1:14" ht="20.25" customHeight="1" x14ac:dyDescent="0.25">
      <c r="A15" s="215">
        <v>8</v>
      </c>
      <c r="B15" s="81">
        <v>2017</v>
      </c>
      <c r="C15" s="82" t="s">
        <v>114</v>
      </c>
      <c r="D15" s="139">
        <f>E15+G15+I15+J15</f>
        <v>447287.41</v>
      </c>
      <c r="E15" s="113">
        <v>223643.71</v>
      </c>
      <c r="F15" s="114">
        <f>E15/D15</f>
        <v>0.5</v>
      </c>
      <c r="G15" s="113">
        <v>223643.7</v>
      </c>
      <c r="H15" s="114">
        <f>G15/D15</f>
        <v>0.5</v>
      </c>
      <c r="I15" s="113">
        <v>0</v>
      </c>
      <c r="J15" s="113">
        <v>0</v>
      </c>
      <c r="K15" s="114">
        <f>(J15+I15)/D15</f>
        <v>0</v>
      </c>
      <c r="L15" s="77" t="s">
        <v>14</v>
      </c>
    </row>
    <row r="16" spans="1:14" ht="33.75" x14ac:dyDescent="0.25">
      <c r="A16" s="215">
        <v>9</v>
      </c>
      <c r="B16" s="97">
        <v>2017</v>
      </c>
      <c r="C16" s="145" t="s">
        <v>507</v>
      </c>
      <c r="D16" s="106">
        <f>E16+G16+I16+J16</f>
        <v>27175</v>
      </c>
      <c r="E16" s="93">
        <v>27175</v>
      </c>
      <c r="F16" s="107">
        <f>E16/D16</f>
        <v>1</v>
      </c>
      <c r="G16" s="94">
        <v>0</v>
      </c>
      <c r="H16" s="112">
        <f>G16/D16</f>
        <v>0</v>
      </c>
      <c r="I16" s="93">
        <v>0</v>
      </c>
      <c r="J16" s="93">
        <v>0</v>
      </c>
      <c r="K16" s="114">
        <f>(J16+I16)/D16</f>
        <v>0</v>
      </c>
      <c r="L16" s="77" t="s">
        <v>14</v>
      </c>
    </row>
    <row r="17" spans="1:14" ht="33.75" x14ac:dyDescent="0.25">
      <c r="A17" s="215">
        <v>10</v>
      </c>
      <c r="B17" s="97">
        <v>2017</v>
      </c>
      <c r="C17" s="92" t="s">
        <v>115</v>
      </c>
      <c r="D17" s="106">
        <f t="shared" ref="D17" si="19">E17+G17+I17+J17</f>
        <v>928713.06</v>
      </c>
      <c r="E17" s="93">
        <v>464356.53</v>
      </c>
      <c r="F17" s="107">
        <f t="shared" ref="F17" si="20">E17/D17</f>
        <v>0.5</v>
      </c>
      <c r="G17" s="94">
        <v>464356.53</v>
      </c>
      <c r="H17" s="112">
        <f t="shared" ref="H17" si="21">G17/D17</f>
        <v>0.5</v>
      </c>
      <c r="I17" s="93">
        <v>0</v>
      </c>
      <c r="J17" s="93">
        <v>0</v>
      </c>
      <c r="K17" s="114">
        <f t="shared" ref="K17" si="22">(J17+I17)/D17</f>
        <v>0</v>
      </c>
      <c r="L17" s="77" t="s">
        <v>14</v>
      </c>
    </row>
    <row r="18" spans="1:14" ht="22.5" x14ac:dyDescent="0.25">
      <c r="A18" s="215">
        <v>11</v>
      </c>
      <c r="B18" s="286">
        <v>2017</v>
      </c>
      <c r="C18" s="145" t="s">
        <v>116</v>
      </c>
      <c r="D18" s="106">
        <f t="shared" ref="D18" si="23">E18+G18+I18+J18</f>
        <v>42681</v>
      </c>
      <c r="E18" s="93">
        <v>21340.5</v>
      </c>
      <c r="F18" s="107">
        <f t="shared" ref="F18" si="24">E18/D18</f>
        <v>0.5</v>
      </c>
      <c r="G18" s="94">
        <v>21340.5</v>
      </c>
      <c r="H18" s="112">
        <f t="shared" ref="H18" si="25">G18/D18</f>
        <v>0.5</v>
      </c>
      <c r="I18" s="93">
        <v>0</v>
      </c>
      <c r="J18" s="93">
        <v>0</v>
      </c>
      <c r="K18" s="114">
        <f t="shared" ref="K18" si="26">(J18+I18)/D18</f>
        <v>0</v>
      </c>
      <c r="L18" s="311" t="s">
        <v>14</v>
      </c>
    </row>
    <row r="19" spans="1:14" ht="45" x14ac:dyDescent="0.25">
      <c r="A19" s="215">
        <v>12</v>
      </c>
      <c r="B19" s="97">
        <v>2017</v>
      </c>
      <c r="C19" s="92" t="s">
        <v>117</v>
      </c>
      <c r="D19" s="106">
        <f t="shared" ref="D19" si="27">E19+G19+I19+J19</f>
        <v>58490.9</v>
      </c>
      <c r="E19" s="93">
        <v>29245.45</v>
      </c>
      <c r="F19" s="107">
        <f t="shared" ref="F19" si="28">E19/D19</f>
        <v>0.5</v>
      </c>
      <c r="G19" s="94">
        <v>29245.45</v>
      </c>
      <c r="H19" s="112">
        <f t="shared" ref="H19" si="29">G19/D19</f>
        <v>0.5</v>
      </c>
      <c r="I19" s="93">
        <v>0</v>
      </c>
      <c r="J19" s="93">
        <v>0</v>
      </c>
      <c r="K19" s="114">
        <f t="shared" ref="K19" si="30">(J19+I19)/D19</f>
        <v>0</v>
      </c>
      <c r="L19" s="235" t="s">
        <v>14</v>
      </c>
    </row>
    <row r="20" spans="1:14" ht="33.75" x14ac:dyDescent="0.25">
      <c r="A20" s="215">
        <v>13</v>
      </c>
      <c r="B20" s="286">
        <v>2017</v>
      </c>
      <c r="C20" s="145" t="s">
        <v>118</v>
      </c>
      <c r="D20" s="106">
        <f t="shared" ref="D20" si="31">E20+G20+I20+J20</f>
        <v>57933</v>
      </c>
      <c r="E20" s="93">
        <v>28966.5</v>
      </c>
      <c r="F20" s="107">
        <f t="shared" ref="F20" si="32">E20/D20</f>
        <v>0.5</v>
      </c>
      <c r="G20" s="94">
        <v>28966.5</v>
      </c>
      <c r="H20" s="112">
        <f t="shared" ref="H20" si="33">G20/D20</f>
        <v>0.5</v>
      </c>
      <c r="I20" s="93">
        <v>0</v>
      </c>
      <c r="J20" s="93">
        <v>0</v>
      </c>
      <c r="K20" s="114">
        <f t="shared" ref="K20" si="34">(J20+I20)/D20</f>
        <v>0</v>
      </c>
      <c r="L20" s="311" t="s">
        <v>14</v>
      </c>
    </row>
    <row r="21" spans="1:14" ht="33.75" x14ac:dyDescent="0.25">
      <c r="A21" s="215">
        <v>14</v>
      </c>
      <c r="B21" s="97">
        <v>2018</v>
      </c>
      <c r="C21" s="92" t="s">
        <v>119</v>
      </c>
      <c r="D21" s="106">
        <f t="shared" ref="D21" si="35">E21+G21+I21+J21</f>
        <v>943806.3</v>
      </c>
      <c r="E21" s="93">
        <v>543806.30000000005</v>
      </c>
      <c r="F21" s="107">
        <f>E21/D21</f>
        <v>0.57999999999999996</v>
      </c>
      <c r="G21" s="94">
        <v>400000</v>
      </c>
      <c r="H21" s="112">
        <f t="shared" ref="H21" si="36">G21/D21</f>
        <v>0.42</v>
      </c>
      <c r="I21" s="93">
        <v>0</v>
      </c>
      <c r="J21" s="93">
        <v>0</v>
      </c>
      <c r="K21" s="114">
        <f t="shared" ref="K21" si="37">(J21+I21)/D21</f>
        <v>0</v>
      </c>
      <c r="L21" s="77" t="s">
        <v>14</v>
      </c>
    </row>
    <row r="22" spans="1:14" ht="22.5" x14ac:dyDescent="0.25">
      <c r="A22" s="215">
        <v>15</v>
      </c>
      <c r="B22" s="97">
        <v>2018</v>
      </c>
      <c r="C22" s="92" t="s">
        <v>120</v>
      </c>
      <c r="D22" s="106">
        <f t="shared" ref="D22" si="38">E22+G22+I22+J22</f>
        <v>43296</v>
      </c>
      <c r="E22" s="93">
        <v>21648</v>
      </c>
      <c r="F22" s="107">
        <f t="shared" ref="F22" si="39">E22/D22</f>
        <v>0.5</v>
      </c>
      <c r="G22" s="94">
        <v>21648</v>
      </c>
      <c r="H22" s="112">
        <f t="shared" ref="H22" si="40">G22/D22</f>
        <v>0.5</v>
      </c>
      <c r="I22" s="93">
        <v>0</v>
      </c>
      <c r="J22" s="93">
        <v>0</v>
      </c>
      <c r="K22" s="114">
        <f t="shared" ref="K22" si="41">(J22+I22)/D22</f>
        <v>0</v>
      </c>
      <c r="L22" s="77" t="s">
        <v>14</v>
      </c>
    </row>
    <row r="23" spans="1:14" ht="22.5" x14ac:dyDescent="0.25">
      <c r="A23" s="215">
        <v>16</v>
      </c>
      <c r="B23" s="97">
        <v>2018</v>
      </c>
      <c r="C23" s="145" t="s">
        <v>508</v>
      </c>
      <c r="D23" s="106">
        <f t="shared" ref="D23" si="42">E23+G23+I23+J23</f>
        <v>477122.92</v>
      </c>
      <c r="E23" s="93">
        <v>477122.92</v>
      </c>
      <c r="F23" s="107">
        <f t="shared" ref="F23" si="43">E23/D23</f>
        <v>1</v>
      </c>
      <c r="G23" s="94">
        <v>0</v>
      </c>
      <c r="H23" s="112">
        <f t="shared" ref="H23" si="44">G23/D23</f>
        <v>0</v>
      </c>
      <c r="I23" s="93">
        <v>0</v>
      </c>
      <c r="J23" s="93">
        <v>0</v>
      </c>
      <c r="K23" s="114">
        <f t="shared" ref="K23" si="45">(J23+I23)/D23</f>
        <v>0</v>
      </c>
      <c r="L23" s="77" t="s">
        <v>14</v>
      </c>
    </row>
    <row r="24" spans="1:14" ht="22.5" x14ac:dyDescent="0.25">
      <c r="A24" s="215">
        <v>17</v>
      </c>
      <c r="B24" s="97">
        <v>2018</v>
      </c>
      <c r="C24" s="92" t="s">
        <v>121</v>
      </c>
      <c r="D24" s="106">
        <f t="shared" ref="D24" si="46">E24+G24+I24+J24</f>
        <v>64944</v>
      </c>
      <c r="E24" s="93">
        <v>32472</v>
      </c>
      <c r="F24" s="107">
        <f t="shared" ref="F24" si="47">E24/D24</f>
        <v>0.5</v>
      </c>
      <c r="G24" s="94">
        <v>32472</v>
      </c>
      <c r="H24" s="112">
        <f t="shared" ref="H24" si="48">G24/D24</f>
        <v>0.5</v>
      </c>
      <c r="I24" s="93">
        <v>0</v>
      </c>
      <c r="J24" s="93">
        <v>0</v>
      </c>
      <c r="K24" s="114">
        <f t="shared" ref="K24" si="49">(J24+I24)/D24</f>
        <v>0</v>
      </c>
      <c r="L24" s="77" t="s">
        <v>14</v>
      </c>
    </row>
    <row r="25" spans="1:14" ht="33.75" x14ac:dyDescent="0.25">
      <c r="A25" s="215">
        <v>18</v>
      </c>
      <c r="B25" s="97">
        <v>2018</v>
      </c>
      <c r="C25" s="92" t="s">
        <v>122</v>
      </c>
      <c r="D25" s="106">
        <f t="shared" ref="D25" si="50">E25+G25+I25+J25</f>
        <v>14760</v>
      </c>
      <c r="E25" s="93">
        <v>7380</v>
      </c>
      <c r="F25" s="107">
        <f>E25/D25</f>
        <v>0.5</v>
      </c>
      <c r="G25" s="94">
        <v>7380</v>
      </c>
      <c r="H25" s="112">
        <f t="shared" ref="H25" si="51">G25/D25</f>
        <v>0.5</v>
      </c>
      <c r="I25" s="93">
        <v>0</v>
      </c>
      <c r="J25" s="93">
        <v>0</v>
      </c>
      <c r="K25" s="114">
        <f t="shared" ref="K25" si="52">(J25+I25)/D25</f>
        <v>0</v>
      </c>
      <c r="L25" s="77" t="s">
        <v>14</v>
      </c>
    </row>
    <row r="26" spans="1:14" ht="22.5" x14ac:dyDescent="0.25">
      <c r="A26" s="215">
        <v>19</v>
      </c>
      <c r="B26" s="97">
        <v>2018</v>
      </c>
      <c r="C26" s="92" t="s">
        <v>123</v>
      </c>
      <c r="D26" s="106">
        <f t="shared" ref="D26" si="53">E26+G26+I26+J26</f>
        <v>55906</v>
      </c>
      <c r="E26" s="93">
        <v>0</v>
      </c>
      <c r="F26" s="107">
        <f t="shared" ref="F26" si="54">E26/D26</f>
        <v>0</v>
      </c>
      <c r="G26" s="94">
        <v>55906</v>
      </c>
      <c r="H26" s="112">
        <f t="shared" ref="H26" si="55">G26/D26</f>
        <v>1</v>
      </c>
      <c r="I26" s="93">
        <v>0</v>
      </c>
      <c r="J26" s="93">
        <v>0</v>
      </c>
      <c r="K26" s="114">
        <f t="shared" ref="K26" si="56">(J26+I26)/D26</f>
        <v>0</v>
      </c>
      <c r="L26" s="77" t="s">
        <v>14</v>
      </c>
    </row>
    <row r="27" spans="1:14" ht="22.5" x14ac:dyDescent="0.25">
      <c r="A27" s="215">
        <v>20</v>
      </c>
      <c r="B27" s="97">
        <v>2019</v>
      </c>
      <c r="C27" s="92" t="s">
        <v>336</v>
      </c>
      <c r="D27" s="106">
        <f t="shared" ref="D27:D29" si="57">E27+G27+I27+J27</f>
        <v>2308717.63</v>
      </c>
      <c r="E27" s="93">
        <v>623754.17000000004</v>
      </c>
      <c r="F27" s="107">
        <f>(E27/D27)</f>
        <v>0.27</v>
      </c>
      <c r="G27" s="94">
        <v>623754.17000000004</v>
      </c>
      <c r="H27" s="112">
        <f t="shared" ref="H27:H45" si="58">G27/D27</f>
        <v>0.27</v>
      </c>
      <c r="I27" s="93">
        <v>1061209.29</v>
      </c>
      <c r="J27" s="93">
        <v>0</v>
      </c>
      <c r="K27" s="114">
        <f t="shared" ref="K27" si="59">(J27+I27)/D27</f>
        <v>0.46</v>
      </c>
      <c r="L27" s="310" t="s">
        <v>14</v>
      </c>
    </row>
    <row r="28" spans="1:14" ht="22.5" x14ac:dyDescent="0.25">
      <c r="A28" s="215">
        <v>21</v>
      </c>
      <c r="B28" s="119">
        <v>2020</v>
      </c>
      <c r="C28" s="92" t="s">
        <v>337</v>
      </c>
      <c r="D28" s="106">
        <f t="shared" si="57"/>
        <v>4608398.97</v>
      </c>
      <c r="E28" s="94">
        <f>898931.13+300000</f>
        <v>1198931.1299999999</v>
      </c>
      <c r="F28" s="112">
        <f t="shared" ref="F28:F36" si="60">E28/D28</f>
        <v>0.26</v>
      </c>
      <c r="G28" s="94">
        <v>1198931.1299999999</v>
      </c>
      <c r="H28" s="112">
        <f t="shared" si="58"/>
        <v>0.26</v>
      </c>
      <c r="I28" s="94">
        <v>2210536.71</v>
      </c>
      <c r="J28" s="94"/>
      <c r="K28" s="114">
        <f t="shared" ref="K28" si="61">(J28+I28)/D28</f>
        <v>0.48</v>
      </c>
      <c r="L28" s="236" t="s">
        <v>14</v>
      </c>
    </row>
    <row r="29" spans="1:14" ht="33.75" x14ac:dyDescent="0.25">
      <c r="A29" s="215">
        <v>22</v>
      </c>
      <c r="B29" s="97">
        <v>2020</v>
      </c>
      <c r="C29" s="92" t="s">
        <v>338</v>
      </c>
      <c r="D29" s="106">
        <f t="shared" si="57"/>
        <v>25830</v>
      </c>
      <c r="E29" s="94">
        <v>12915</v>
      </c>
      <c r="F29" s="112">
        <f t="shared" si="60"/>
        <v>0.5</v>
      </c>
      <c r="G29" s="94">
        <v>12915</v>
      </c>
      <c r="H29" s="112">
        <f t="shared" si="58"/>
        <v>0.5</v>
      </c>
      <c r="I29" s="94">
        <v>0</v>
      </c>
      <c r="J29" s="94">
        <v>0</v>
      </c>
      <c r="K29" s="114">
        <f t="shared" ref="K29" si="62">(J29+I29)/D29</f>
        <v>0</v>
      </c>
      <c r="L29" s="236" t="s">
        <v>14</v>
      </c>
    </row>
    <row r="30" spans="1:14" ht="33.75" x14ac:dyDescent="0.25">
      <c r="A30" s="215">
        <v>23</v>
      </c>
      <c r="B30" s="81">
        <v>2020</v>
      </c>
      <c r="C30" s="82" t="s">
        <v>339</v>
      </c>
      <c r="D30" s="196">
        <f>E30+G30+I30+J30</f>
        <v>22878</v>
      </c>
      <c r="E30" s="113">
        <v>11439</v>
      </c>
      <c r="F30" s="114">
        <f t="shared" si="60"/>
        <v>0.5</v>
      </c>
      <c r="G30" s="113">
        <v>11439</v>
      </c>
      <c r="H30" s="114">
        <f t="shared" si="58"/>
        <v>0.5</v>
      </c>
      <c r="I30" s="113">
        <v>0</v>
      </c>
      <c r="J30" s="113">
        <v>0</v>
      </c>
      <c r="K30" s="114">
        <f>(J30+I30)/D30</f>
        <v>0</v>
      </c>
      <c r="L30" s="77" t="s">
        <v>14</v>
      </c>
    </row>
    <row r="31" spans="1:14" ht="22.5" x14ac:dyDescent="0.25">
      <c r="A31" s="215">
        <v>24</v>
      </c>
      <c r="B31" s="97">
        <v>2021</v>
      </c>
      <c r="C31" s="92" t="s">
        <v>473</v>
      </c>
      <c r="D31" s="137">
        <f t="shared" ref="D31" si="63">E31+G31+I31+J31</f>
        <v>84951.02</v>
      </c>
      <c r="E31" s="93">
        <v>42475.51</v>
      </c>
      <c r="F31" s="107">
        <f t="shared" ref="F31" si="64">E31/D31</f>
        <v>0.5</v>
      </c>
      <c r="G31" s="94">
        <v>42475.51</v>
      </c>
      <c r="H31" s="112">
        <f t="shared" ref="H31" si="65">G31/D31</f>
        <v>0.5</v>
      </c>
      <c r="I31" s="93">
        <v>0</v>
      </c>
      <c r="J31" s="93">
        <v>0</v>
      </c>
      <c r="K31" s="114">
        <f t="shared" ref="K31" si="66">(J31+I31)/D31</f>
        <v>0</v>
      </c>
      <c r="L31" s="77" t="s">
        <v>14</v>
      </c>
      <c r="M31" s="138"/>
      <c r="N31" s="115"/>
    </row>
    <row r="32" spans="1:14" ht="22.5" x14ac:dyDescent="0.25">
      <c r="A32" s="215">
        <v>25</v>
      </c>
      <c r="B32" s="97">
        <v>2021</v>
      </c>
      <c r="C32" s="92" t="s">
        <v>474</v>
      </c>
      <c r="D32" s="137">
        <f t="shared" ref="D32" si="67">E32+G32+I32+J32</f>
        <v>190446.35</v>
      </c>
      <c r="E32" s="93">
        <v>95223.18</v>
      </c>
      <c r="F32" s="107">
        <f t="shared" ref="F32" si="68">E32/D32</f>
        <v>0.5</v>
      </c>
      <c r="G32" s="94">
        <v>95223.17</v>
      </c>
      <c r="H32" s="112">
        <f t="shared" ref="H32" si="69">G32/D32</f>
        <v>0.5</v>
      </c>
      <c r="I32" s="93">
        <v>0</v>
      </c>
      <c r="J32" s="93">
        <v>0</v>
      </c>
      <c r="K32" s="114">
        <f t="shared" ref="K32" si="70">(J32+I32)/D32</f>
        <v>0</v>
      </c>
      <c r="L32" s="77" t="s">
        <v>14</v>
      </c>
      <c r="M32" s="138"/>
      <c r="N32" s="115"/>
    </row>
    <row r="33" spans="1:13" ht="22.5" x14ac:dyDescent="0.25">
      <c r="A33" s="215">
        <v>26</v>
      </c>
      <c r="B33" s="97" t="s">
        <v>464</v>
      </c>
      <c r="C33" s="145" t="s">
        <v>340</v>
      </c>
      <c r="D33" s="137">
        <f t="shared" ref="D33" si="71">E33+G33+I33+J33</f>
        <v>5042361.62</v>
      </c>
      <c r="E33" s="93">
        <f>785688.72+900000</f>
        <v>1685688.72</v>
      </c>
      <c r="F33" s="107">
        <f t="shared" si="60"/>
        <v>0.33</v>
      </c>
      <c r="G33" s="94">
        <v>1259823.3600000001</v>
      </c>
      <c r="H33" s="112">
        <f t="shared" si="58"/>
        <v>0.25</v>
      </c>
      <c r="I33" s="93">
        <v>2096849.54</v>
      </c>
      <c r="J33" s="93"/>
      <c r="K33" s="114">
        <f t="shared" ref="K33" si="72">(J33+I33)/D33</f>
        <v>0.42</v>
      </c>
      <c r="L33" s="77" t="s">
        <v>14</v>
      </c>
      <c r="M33" s="115"/>
    </row>
    <row r="34" spans="1:13" ht="33.75" x14ac:dyDescent="0.25">
      <c r="A34" s="215">
        <v>27</v>
      </c>
      <c r="B34" s="97">
        <v>2022</v>
      </c>
      <c r="C34" s="92" t="s">
        <v>341</v>
      </c>
      <c r="D34" s="137">
        <f t="shared" ref="D34" si="73">E34+G34+I34+J34</f>
        <v>2414815.36</v>
      </c>
      <c r="E34" s="94">
        <v>682547.91</v>
      </c>
      <c r="F34" s="107">
        <f t="shared" si="60"/>
        <v>0.28000000000000003</v>
      </c>
      <c r="G34" s="94">
        <v>682547.9</v>
      </c>
      <c r="H34" s="112">
        <f t="shared" si="58"/>
        <v>0.28000000000000003</v>
      </c>
      <c r="I34" s="93">
        <v>1049719.55</v>
      </c>
      <c r="J34" s="93">
        <v>0</v>
      </c>
      <c r="K34" s="114">
        <f t="shared" ref="K34" si="74">(J34+I34)/D34</f>
        <v>0.43</v>
      </c>
      <c r="L34" s="235" t="s">
        <v>14</v>
      </c>
    </row>
    <row r="35" spans="1:13" ht="22.5" x14ac:dyDescent="0.25">
      <c r="A35" s="215">
        <v>28</v>
      </c>
      <c r="B35" s="97">
        <v>2022</v>
      </c>
      <c r="C35" s="92" t="s">
        <v>342</v>
      </c>
      <c r="D35" s="137">
        <f t="shared" ref="D35" si="75">E35+G35+I35+J35</f>
        <v>775202.53</v>
      </c>
      <c r="E35" s="93">
        <f>211240.27+861</f>
        <v>212101.27</v>
      </c>
      <c r="F35" s="107">
        <f t="shared" si="60"/>
        <v>0.27</v>
      </c>
      <c r="G35" s="94">
        <v>212101.26</v>
      </c>
      <c r="H35" s="112">
        <f t="shared" si="58"/>
        <v>0.27</v>
      </c>
      <c r="I35" s="93">
        <f>201000+150000</f>
        <v>351000</v>
      </c>
      <c r="J35" s="93">
        <v>0</v>
      </c>
      <c r="K35" s="114">
        <f t="shared" ref="K35" si="76">(J35+I35)/D35</f>
        <v>0.45</v>
      </c>
      <c r="L35" s="235" t="s">
        <v>14</v>
      </c>
    </row>
    <row r="36" spans="1:13" ht="33.75" x14ac:dyDescent="0.25">
      <c r="A36" s="215">
        <v>29</v>
      </c>
      <c r="B36" s="119">
        <v>2022</v>
      </c>
      <c r="C36" s="92" t="s">
        <v>344</v>
      </c>
      <c r="D36" s="137">
        <f t="shared" ref="D36" si="77">E36+G36+I36+J36</f>
        <v>124783.5</v>
      </c>
      <c r="E36" s="94">
        <v>14175.75</v>
      </c>
      <c r="F36" s="313">
        <f t="shared" si="60"/>
        <v>0.114</v>
      </c>
      <c r="G36" s="94">
        <v>14175.75</v>
      </c>
      <c r="H36" s="314">
        <f t="shared" si="58"/>
        <v>0.114</v>
      </c>
      <c r="I36" s="93">
        <v>96432</v>
      </c>
      <c r="J36" s="94">
        <v>0</v>
      </c>
      <c r="K36" s="114">
        <f t="shared" ref="K36" si="78">(J36+I36)/D36</f>
        <v>0.77</v>
      </c>
      <c r="L36" s="312" t="s">
        <v>14</v>
      </c>
    </row>
    <row r="37" spans="1:13" ht="22.5" x14ac:dyDescent="0.25">
      <c r="A37" s="215">
        <v>30</v>
      </c>
      <c r="B37" s="119">
        <v>2022</v>
      </c>
      <c r="C37" s="92" t="s">
        <v>345</v>
      </c>
      <c r="D37" s="137">
        <f t="shared" ref="D37" si="79">E37+G37+I37+J37</f>
        <v>124783.5</v>
      </c>
      <c r="E37" s="94">
        <v>19095.75</v>
      </c>
      <c r="F37" s="107">
        <f>(E37/D37)</f>
        <v>0.15</v>
      </c>
      <c r="G37" s="94">
        <v>19095.75</v>
      </c>
      <c r="H37" s="112">
        <f t="shared" si="58"/>
        <v>0.15</v>
      </c>
      <c r="I37" s="93">
        <v>86592</v>
      </c>
      <c r="J37" s="93">
        <v>0</v>
      </c>
      <c r="K37" s="114">
        <f t="shared" ref="K37" si="80">(J37+I37)/D37</f>
        <v>0.69</v>
      </c>
      <c r="L37" s="310" t="s">
        <v>14</v>
      </c>
    </row>
    <row r="38" spans="1:13" ht="33.75" x14ac:dyDescent="0.25">
      <c r="A38" s="215">
        <v>31</v>
      </c>
      <c r="B38" s="97">
        <v>2022</v>
      </c>
      <c r="C38" s="92" t="s">
        <v>346</v>
      </c>
      <c r="D38" s="137">
        <f t="shared" ref="D38" si="81">E38+G38+I38+J38</f>
        <v>124783.5</v>
      </c>
      <c r="E38" s="93">
        <v>14175.75</v>
      </c>
      <c r="F38" s="107">
        <f>(E38/D38)</f>
        <v>0.11</v>
      </c>
      <c r="G38" s="94">
        <v>14175.75</v>
      </c>
      <c r="H38" s="112">
        <f t="shared" si="58"/>
        <v>0.11</v>
      </c>
      <c r="I38" s="93">
        <v>96432</v>
      </c>
      <c r="J38" s="93">
        <v>0</v>
      </c>
      <c r="K38" s="114">
        <f t="shared" ref="K38" si="82">(J38+I38)/D38</f>
        <v>0.77</v>
      </c>
      <c r="L38" s="310" t="s">
        <v>14</v>
      </c>
    </row>
    <row r="39" spans="1:13" ht="22.5" x14ac:dyDescent="0.25">
      <c r="A39" s="215">
        <v>32</v>
      </c>
      <c r="B39" s="5">
        <v>2022</v>
      </c>
      <c r="C39" s="82" t="s">
        <v>347</v>
      </c>
      <c r="D39" s="161">
        <f>E39+G39+I39+J39</f>
        <v>124783.5</v>
      </c>
      <c r="E39" s="86">
        <v>19095.75</v>
      </c>
      <c r="F39" s="88">
        <f>(E39/D39)</f>
        <v>0.15</v>
      </c>
      <c r="G39" s="86">
        <v>19095.75</v>
      </c>
      <c r="H39" s="105">
        <f t="shared" si="58"/>
        <v>0.15</v>
      </c>
      <c r="I39" s="84">
        <v>86592</v>
      </c>
      <c r="J39" s="84">
        <v>0</v>
      </c>
      <c r="K39" s="114">
        <f t="shared" ref="K39" si="83">(J39+I39)/D39</f>
        <v>0.69</v>
      </c>
      <c r="L39" s="235" t="s">
        <v>14</v>
      </c>
    </row>
    <row r="40" spans="1:13" ht="33.75" x14ac:dyDescent="0.25">
      <c r="A40" s="215">
        <v>33</v>
      </c>
      <c r="B40" s="81" t="s">
        <v>516</v>
      </c>
      <c r="C40" s="155" t="s">
        <v>348</v>
      </c>
      <c r="D40" s="315">
        <f>E40+G40</f>
        <v>60270</v>
      </c>
      <c r="E40" s="153">
        <v>30135</v>
      </c>
      <c r="F40" s="316">
        <f>E40/D40</f>
        <v>0.5</v>
      </c>
      <c r="G40" s="317">
        <v>30135</v>
      </c>
      <c r="H40" s="152">
        <f t="shared" si="58"/>
        <v>0.5</v>
      </c>
      <c r="I40" s="153">
        <v>0</v>
      </c>
      <c r="J40" s="153">
        <v>0</v>
      </c>
      <c r="K40" s="151">
        <f t="shared" ref="K40:K43" si="84">(J40+I40)/D40</f>
        <v>0</v>
      </c>
      <c r="L40" s="318" t="s">
        <v>14</v>
      </c>
    </row>
    <row r="41" spans="1:13" ht="33.75" x14ac:dyDescent="0.25">
      <c r="A41" s="215">
        <v>34</v>
      </c>
      <c r="B41" s="81" t="s">
        <v>515</v>
      </c>
      <c r="C41" s="158" t="s">
        <v>343</v>
      </c>
      <c r="D41" s="161">
        <f t="shared" ref="D41" si="85">E41+G41+I41+J41</f>
        <v>56334</v>
      </c>
      <c r="E41" s="86">
        <f>21771+6396</f>
        <v>28167</v>
      </c>
      <c r="F41" s="319">
        <f>E41/D41</f>
        <v>0.5</v>
      </c>
      <c r="G41" s="86">
        <f>21771+6396</f>
        <v>28167</v>
      </c>
      <c r="H41" s="152">
        <f t="shared" si="58"/>
        <v>0.5</v>
      </c>
      <c r="I41" s="84">
        <v>0</v>
      </c>
      <c r="J41" s="84">
        <v>0</v>
      </c>
      <c r="K41" s="114">
        <f>(J41+I41)/D41</f>
        <v>0</v>
      </c>
      <c r="L41" s="235" t="s">
        <v>14</v>
      </c>
    </row>
    <row r="42" spans="1:13" ht="33.75" x14ac:dyDescent="0.25">
      <c r="A42" s="215">
        <v>35</v>
      </c>
      <c r="B42" s="81" t="s">
        <v>516</v>
      </c>
      <c r="C42" s="155" t="s">
        <v>425</v>
      </c>
      <c r="D42" s="315">
        <f t="shared" ref="D42:D43" si="86">E42+G42</f>
        <v>121155</v>
      </c>
      <c r="E42" s="153">
        <f>87015+22140</f>
        <v>109155</v>
      </c>
      <c r="F42" s="151">
        <f t="shared" ref="F42:F45" si="87">E42/D42</f>
        <v>0.9</v>
      </c>
      <c r="G42" s="317">
        <v>12000</v>
      </c>
      <c r="H42" s="152">
        <f t="shared" si="58"/>
        <v>0.1</v>
      </c>
      <c r="I42" s="153">
        <v>0</v>
      </c>
      <c r="J42" s="153">
        <v>0</v>
      </c>
      <c r="K42" s="151">
        <f t="shared" si="84"/>
        <v>0</v>
      </c>
      <c r="L42" s="318" t="s">
        <v>14</v>
      </c>
    </row>
    <row r="43" spans="1:13" ht="33.75" x14ac:dyDescent="0.25">
      <c r="A43" s="215">
        <v>36</v>
      </c>
      <c r="B43" s="81" t="s">
        <v>502</v>
      </c>
      <c r="C43" s="155" t="s">
        <v>426</v>
      </c>
      <c r="D43" s="315">
        <f t="shared" si="86"/>
        <v>160515</v>
      </c>
      <c r="E43" s="153">
        <f>20233.5+60024</f>
        <v>80257.5</v>
      </c>
      <c r="F43" s="151">
        <f t="shared" si="87"/>
        <v>0.5</v>
      </c>
      <c r="G43" s="317">
        <f>20233.5+60024</f>
        <v>80257.5</v>
      </c>
      <c r="H43" s="152">
        <f t="shared" si="58"/>
        <v>0.5</v>
      </c>
      <c r="I43" s="153">
        <v>0</v>
      </c>
      <c r="J43" s="153">
        <v>0</v>
      </c>
      <c r="K43" s="151">
        <f t="shared" si="84"/>
        <v>0</v>
      </c>
      <c r="L43" s="318" t="s">
        <v>14</v>
      </c>
    </row>
    <row r="44" spans="1:13" ht="22.5" x14ac:dyDescent="0.25">
      <c r="A44" s="215">
        <v>37</v>
      </c>
      <c r="B44" s="81" t="s">
        <v>520</v>
      </c>
      <c r="C44" s="89" t="s">
        <v>441</v>
      </c>
      <c r="D44" s="315">
        <f>E44+G44+I44+J44</f>
        <v>3077474.76</v>
      </c>
      <c r="E44" s="153">
        <v>0</v>
      </c>
      <c r="F44" s="151">
        <f t="shared" si="87"/>
        <v>0</v>
      </c>
      <c r="G44" s="317">
        <v>0</v>
      </c>
      <c r="H44" s="152">
        <f t="shared" si="58"/>
        <v>0</v>
      </c>
      <c r="I44" s="153">
        <v>3077474.76</v>
      </c>
      <c r="J44" s="153">
        <v>0</v>
      </c>
      <c r="K44" s="151">
        <f t="shared" ref="K44:K45" si="88">(J44+I44)/D44</f>
        <v>1</v>
      </c>
      <c r="L44" s="318" t="s">
        <v>14</v>
      </c>
    </row>
    <row r="45" spans="1:13" x14ac:dyDescent="0.25">
      <c r="A45" s="377" t="s">
        <v>34</v>
      </c>
      <c r="B45" s="378"/>
      <c r="C45" s="379"/>
      <c r="D45" s="197">
        <f>SUM(D8:D44)</f>
        <v>28623356.109999999</v>
      </c>
      <c r="E45" s="197">
        <f>SUM(E8:E44)</f>
        <v>8604245.1999999993</v>
      </c>
      <c r="F45" s="198">
        <f t="shared" si="87"/>
        <v>0.3</v>
      </c>
      <c r="G45" s="197">
        <f>SUM(G8:G44)</f>
        <v>7405029.5599999996</v>
      </c>
      <c r="H45" s="199">
        <f t="shared" si="58"/>
        <v>0.26</v>
      </c>
      <c r="I45" s="197">
        <f>SUM(I8:I44)</f>
        <v>12614081.35</v>
      </c>
      <c r="J45" s="197">
        <f>SUM(J8:J44)</f>
        <v>0</v>
      </c>
      <c r="K45" s="200">
        <f t="shared" si="88"/>
        <v>0.44</v>
      </c>
      <c r="L45" s="197"/>
    </row>
  </sheetData>
  <mergeCells count="18">
    <mergeCell ref="A45:C45"/>
    <mergeCell ref="H5:H6"/>
    <mergeCell ref="I5:I6"/>
    <mergeCell ref="J5:J6"/>
    <mergeCell ref="K5:K6"/>
    <mergeCell ref="A3:A6"/>
    <mergeCell ref="B3:B6"/>
    <mergeCell ref="C3:C6"/>
    <mergeCell ref="F5:F6"/>
    <mergeCell ref="G5:G6"/>
    <mergeCell ref="A2:L2"/>
    <mergeCell ref="E4:F4"/>
    <mergeCell ref="G4:H4"/>
    <mergeCell ref="I4:K4"/>
    <mergeCell ref="E5:E6"/>
    <mergeCell ref="L3:L6"/>
    <mergeCell ref="D3:D6"/>
    <mergeCell ref="E3:K3"/>
  </mergeCells>
  <phoneticPr fontId="19" type="noConversion"/>
  <pageMargins left="0.7" right="0.7" top="0.75" bottom="0.75" header="0.3" footer="0.3"/>
  <ignoredErrors>
    <ignoredError sqref="F43 D40:D41 F41 F27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24"/>
  <sheetViews>
    <sheetView topLeftCell="A4" zoomScale="115" zoomScaleNormal="115" workbookViewId="0">
      <selection activeCell="L21" sqref="L21"/>
    </sheetView>
  </sheetViews>
  <sheetFormatPr defaultRowHeight="15" x14ac:dyDescent="0.25"/>
  <cols>
    <col min="1" max="1" width="9.140625" style="214"/>
    <col min="2" max="2" width="16.7109375" style="50" customWidth="1"/>
    <col min="3" max="3" width="51" customWidth="1"/>
    <col min="4" max="4" width="14.140625" style="54" customWidth="1"/>
    <col min="5" max="5" width="12.7109375" style="54" bestFit="1" customWidth="1"/>
    <col min="6" max="6" width="12.28515625" customWidth="1"/>
    <col min="7" max="7" width="12.7109375" style="54" bestFit="1" customWidth="1"/>
    <col min="8" max="8" width="10.85546875" customWidth="1"/>
    <col min="9" max="9" width="16.42578125" style="54" customWidth="1"/>
    <col min="10" max="10" width="14" style="54" customWidth="1"/>
    <col min="11" max="11" width="13.140625" customWidth="1"/>
    <col min="12" max="12" width="20" style="50" customWidth="1"/>
    <col min="13" max="13" width="14.140625" bestFit="1" customWidth="1"/>
  </cols>
  <sheetData>
    <row r="2" spans="1:13" ht="63.75" customHeight="1" x14ac:dyDescent="0.25">
      <c r="A2" s="338" t="s">
        <v>467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13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13" ht="29.2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13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13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13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13" ht="22.5" customHeight="1" x14ac:dyDescent="0.25">
      <c r="A8" s="215">
        <v>1</v>
      </c>
      <c r="B8" s="97">
        <v>2015</v>
      </c>
      <c r="C8" s="92" t="s">
        <v>124</v>
      </c>
      <c r="D8" s="106">
        <f>E8+G8+I8+J8</f>
        <v>464642.49</v>
      </c>
      <c r="E8" s="93">
        <v>232321.24</v>
      </c>
      <c r="F8" s="181">
        <f>E8/D8</f>
        <v>0.5</v>
      </c>
      <c r="G8" s="94">
        <v>232321.25</v>
      </c>
      <c r="H8" s="182">
        <f>G8/D8</f>
        <v>0.5</v>
      </c>
      <c r="I8" s="93">
        <v>0</v>
      </c>
      <c r="J8" s="93">
        <v>0</v>
      </c>
      <c r="K8" s="114">
        <f>(I8+J8)/D8</f>
        <v>0</v>
      </c>
      <c r="L8" s="235" t="s">
        <v>14</v>
      </c>
    </row>
    <row r="9" spans="1:13" ht="22.5" x14ac:dyDescent="0.25">
      <c r="A9" s="215">
        <v>2</v>
      </c>
      <c r="B9" s="97">
        <v>2016</v>
      </c>
      <c r="C9" s="92" t="s">
        <v>125</v>
      </c>
      <c r="D9" s="106">
        <f>E9+G9+I9+J9</f>
        <v>375472.48</v>
      </c>
      <c r="E9" s="93">
        <v>187736.24</v>
      </c>
      <c r="F9" s="181">
        <f t="shared" ref="F9" si="0">E9/D9</f>
        <v>0.5</v>
      </c>
      <c r="G9" s="94">
        <v>187736.24</v>
      </c>
      <c r="H9" s="182">
        <f t="shared" ref="H9" si="1">G9/D9</f>
        <v>0.5</v>
      </c>
      <c r="I9" s="93">
        <v>0</v>
      </c>
      <c r="J9" s="93">
        <v>0</v>
      </c>
      <c r="K9" s="114">
        <f t="shared" ref="K9" si="2">(I9+J9)/D9</f>
        <v>0</v>
      </c>
      <c r="L9" s="77" t="s">
        <v>14</v>
      </c>
      <c r="M9" s="115"/>
    </row>
    <row r="10" spans="1:13" ht="22.5" x14ac:dyDescent="0.25">
      <c r="A10" s="215">
        <v>3</v>
      </c>
      <c r="B10" s="97">
        <v>2016</v>
      </c>
      <c r="C10" s="92" t="s">
        <v>126</v>
      </c>
      <c r="D10" s="106">
        <f>E10+G10+I10+J10</f>
        <v>16349.16</v>
      </c>
      <c r="E10" s="93">
        <v>8174.58</v>
      </c>
      <c r="F10" s="181">
        <f t="shared" ref="F10" si="3">E10/D10</f>
        <v>0.5</v>
      </c>
      <c r="G10" s="94">
        <v>8174.58</v>
      </c>
      <c r="H10" s="182">
        <f t="shared" ref="H10" si="4">G10/D10</f>
        <v>0.5</v>
      </c>
      <c r="I10" s="93">
        <v>0</v>
      </c>
      <c r="J10" s="93">
        <v>0</v>
      </c>
      <c r="K10" s="114">
        <f t="shared" ref="K10" si="5">(I10+J10)/D10</f>
        <v>0</v>
      </c>
      <c r="L10" s="77" t="s">
        <v>14</v>
      </c>
    </row>
    <row r="11" spans="1:13" ht="33.75" x14ac:dyDescent="0.25">
      <c r="A11" s="215">
        <v>4</v>
      </c>
      <c r="B11" s="81">
        <v>2017</v>
      </c>
      <c r="C11" s="82" t="s">
        <v>127</v>
      </c>
      <c r="D11" s="139">
        <f>E11+G11+I11+J11</f>
        <v>67010.149999999994</v>
      </c>
      <c r="E11" s="113">
        <v>33505.08</v>
      </c>
      <c r="F11" s="114">
        <f>E11/D11</f>
        <v>0.5</v>
      </c>
      <c r="G11" s="113">
        <v>33505.07</v>
      </c>
      <c r="H11" s="114">
        <f>G11/D11</f>
        <v>0.5</v>
      </c>
      <c r="I11" s="113">
        <v>0</v>
      </c>
      <c r="J11" s="113">
        <v>0</v>
      </c>
      <c r="K11" s="114">
        <f>(J11+I11)/D11</f>
        <v>0</v>
      </c>
      <c r="L11" s="77" t="s">
        <v>14</v>
      </c>
    </row>
    <row r="12" spans="1:13" ht="33.75" x14ac:dyDescent="0.25">
      <c r="A12" s="215">
        <v>5</v>
      </c>
      <c r="B12" s="97">
        <v>2017</v>
      </c>
      <c r="C12" s="92" t="s">
        <v>128</v>
      </c>
      <c r="D12" s="106">
        <f>E12+G12+I12+J12</f>
        <v>226261.22</v>
      </c>
      <c r="E12" s="93">
        <v>113130.61</v>
      </c>
      <c r="F12" s="181">
        <f>E12/D12</f>
        <v>0.5</v>
      </c>
      <c r="G12" s="94">
        <v>113130.61</v>
      </c>
      <c r="H12" s="182">
        <f>G12/D12</f>
        <v>0.5</v>
      </c>
      <c r="I12" s="93">
        <v>0</v>
      </c>
      <c r="J12" s="93">
        <v>0</v>
      </c>
      <c r="K12" s="114">
        <f>(J12+I12)/D12</f>
        <v>0</v>
      </c>
      <c r="L12" s="77" t="s">
        <v>14</v>
      </c>
    </row>
    <row r="13" spans="1:13" ht="33.75" x14ac:dyDescent="0.25">
      <c r="A13" s="215">
        <v>6</v>
      </c>
      <c r="B13" s="97">
        <v>2017</v>
      </c>
      <c r="C13" s="92" t="s">
        <v>129</v>
      </c>
      <c r="D13" s="106">
        <f t="shared" ref="D13" si="6">E13+G13+I13+J13</f>
        <v>24600</v>
      </c>
      <c r="E13" s="93">
        <v>12300</v>
      </c>
      <c r="F13" s="181">
        <f t="shared" ref="F13" si="7">E13/D13</f>
        <v>0.5</v>
      </c>
      <c r="G13" s="94">
        <v>12300</v>
      </c>
      <c r="H13" s="182">
        <f t="shared" ref="H13" si="8">G13/D13</f>
        <v>0.5</v>
      </c>
      <c r="I13" s="93">
        <v>0</v>
      </c>
      <c r="J13" s="93">
        <v>0</v>
      </c>
      <c r="K13" s="114">
        <f t="shared" ref="K13" si="9">(J13+I13)/D13</f>
        <v>0</v>
      </c>
      <c r="L13" s="77" t="s">
        <v>14</v>
      </c>
    </row>
    <row r="14" spans="1:13" ht="33.75" x14ac:dyDescent="0.25">
      <c r="A14" s="215">
        <v>7</v>
      </c>
      <c r="B14" s="97">
        <v>2017</v>
      </c>
      <c r="C14" s="92" t="s">
        <v>130</v>
      </c>
      <c r="D14" s="106">
        <f t="shared" ref="D14" si="10">E14+G14+I14+J14</f>
        <v>25830</v>
      </c>
      <c r="E14" s="93">
        <v>12915</v>
      </c>
      <c r="F14" s="181">
        <f t="shared" ref="F14" si="11">E14/D14</f>
        <v>0.5</v>
      </c>
      <c r="G14" s="94">
        <v>12915</v>
      </c>
      <c r="H14" s="182">
        <f t="shared" ref="H14" si="12">G14/D14</f>
        <v>0.5</v>
      </c>
      <c r="I14" s="93">
        <v>0</v>
      </c>
      <c r="J14" s="93">
        <v>0</v>
      </c>
      <c r="K14" s="114">
        <f t="shared" ref="K14" si="13">(J14+I14)/D14</f>
        <v>0</v>
      </c>
      <c r="L14" s="77" t="s">
        <v>14</v>
      </c>
    </row>
    <row r="15" spans="1:13" ht="22.5" x14ac:dyDescent="0.25">
      <c r="A15" s="215">
        <v>8</v>
      </c>
      <c r="B15" s="97">
        <v>2020</v>
      </c>
      <c r="C15" s="92" t="s">
        <v>349</v>
      </c>
      <c r="D15" s="106">
        <f t="shared" ref="D15" si="14">E15+G15+I15+J15</f>
        <v>1207082.42</v>
      </c>
      <c r="E15" s="93">
        <f>154937.87+150000</f>
        <v>304937.87</v>
      </c>
      <c r="F15" s="181">
        <f t="shared" ref="F15" si="15">E15/D15</f>
        <v>0.25</v>
      </c>
      <c r="G15" s="94">
        <v>302867.34999999998</v>
      </c>
      <c r="H15" s="182">
        <f t="shared" ref="H15" si="16">G15/D15</f>
        <v>0.25</v>
      </c>
      <c r="I15" s="93">
        <v>599277.19999999995</v>
      </c>
      <c r="J15" s="93"/>
      <c r="K15" s="114">
        <f t="shared" ref="K15" si="17">(J15+I15)/D15</f>
        <v>0.5</v>
      </c>
      <c r="L15" s="77" t="s">
        <v>14</v>
      </c>
    </row>
    <row r="16" spans="1:13" ht="22.5" x14ac:dyDescent="0.25">
      <c r="A16" s="215">
        <v>9</v>
      </c>
      <c r="B16" s="81">
        <v>2021</v>
      </c>
      <c r="C16" s="82" t="s">
        <v>350</v>
      </c>
      <c r="D16" s="139">
        <f>E16+G16+I16+J16</f>
        <v>1082371.3500000001</v>
      </c>
      <c r="E16" s="113">
        <v>275716.59999999998</v>
      </c>
      <c r="F16" s="114">
        <f>E16/D16</f>
        <v>0.25</v>
      </c>
      <c r="G16" s="113">
        <v>275716.59000000003</v>
      </c>
      <c r="H16" s="114">
        <f>G16/D16</f>
        <v>0.25</v>
      </c>
      <c r="I16" s="113">
        <v>530938.16</v>
      </c>
      <c r="J16" s="113">
        <v>0</v>
      </c>
      <c r="K16" s="114">
        <f>(J16+I16)/D16</f>
        <v>0.49</v>
      </c>
      <c r="L16" s="77" t="s">
        <v>14</v>
      </c>
      <c r="M16" s="115"/>
    </row>
    <row r="17" spans="1:13" ht="22.5" x14ac:dyDescent="0.25">
      <c r="A17" s="215">
        <v>10</v>
      </c>
      <c r="B17" s="97" t="s">
        <v>518</v>
      </c>
      <c r="C17" s="145" t="s">
        <v>351</v>
      </c>
      <c r="D17" s="106">
        <f>E17+G17+I17+J17</f>
        <v>109789.8</v>
      </c>
      <c r="E17" s="93">
        <v>54894.9</v>
      </c>
      <c r="F17" s="181">
        <f>E17/D17</f>
        <v>0.5</v>
      </c>
      <c r="G17" s="94">
        <f>24144.9+30750</f>
        <v>54894.9</v>
      </c>
      <c r="H17" s="182">
        <f>G17/D17</f>
        <v>0.5</v>
      </c>
      <c r="I17" s="93">
        <v>0</v>
      </c>
      <c r="J17" s="93">
        <v>0</v>
      </c>
      <c r="K17" s="114">
        <f>(J17+I17)/D17</f>
        <v>0</v>
      </c>
      <c r="L17" s="77" t="s">
        <v>14</v>
      </c>
    </row>
    <row r="18" spans="1:13" ht="33.75" x14ac:dyDescent="0.25">
      <c r="A18" s="215">
        <v>11</v>
      </c>
      <c r="B18" s="97" t="s">
        <v>515</v>
      </c>
      <c r="C18" s="145" t="s">
        <v>352</v>
      </c>
      <c r="D18" s="106">
        <f t="shared" ref="D18" si="18">E18+G18+I18+J18</f>
        <v>267156</v>
      </c>
      <c r="E18" s="93">
        <v>133578</v>
      </c>
      <c r="F18" s="181">
        <f t="shared" ref="F18" si="19">E18/D18</f>
        <v>0.5</v>
      </c>
      <c r="G18" s="94">
        <f>26445+107133</f>
        <v>133578</v>
      </c>
      <c r="H18" s="182">
        <f t="shared" ref="H18" si="20">G18/D18</f>
        <v>0.5</v>
      </c>
      <c r="I18" s="93">
        <v>0</v>
      </c>
      <c r="J18" s="93">
        <v>0</v>
      </c>
      <c r="K18" s="114">
        <f t="shared" ref="K18" si="21">(J18+I18)/D18</f>
        <v>0</v>
      </c>
      <c r="L18" s="77" t="s">
        <v>14</v>
      </c>
    </row>
    <row r="19" spans="1:13" ht="33.75" x14ac:dyDescent="0.25">
      <c r="A19" s="215">
        <v>12</v>
      </c>
      <c r="B19" s="5">
        <v>2022</v>
      </c>
      <c r="C19" s="82" t="s">
        <v>353</v>
      </c>
      <c r="D19" s="139">
        <f t="shared" ref="D19:D23" si="22">E19+G19+I19+J19</f>
        <v>127514.1</v>
      </c>
      <c r="E19" s="113">
        <v>20461.05</v>
      </c>
      <c r="F19" s="114">
        <f>E19/D19</f>
        <v>0.16</v>
      </c>
      <c r="G19" s="113">
        <v>20461.05</v>
      </c>
      <c r="H19" s="114">
        <f>G19/D19</f>
        <v>0.16</v>
      </c>
      <c r="I19" s="113">
        <v>86592</v>
      </c>
      <c r="J19" s="113">
        <v>0</v>
      </c>
      <c r="K19" s="114">
        <f>(J19+I19)/D19</f>
        <v>0.68</v>
      </c>
      <c r="L19" s="77" t="s">
        <v>14</v>
      </c>
    </row>
    <row r="20" spans="1:13" ht="56.25" x14ac:dyDescent="0.25">
      <c r="A20" s="215">
        <v>13</v>
      </c>
      <c r="B20" s="81" t="s">
        <v>517</v>
      </c>
      <c r="C20" s="158" t="s">
        <v>354</v>
      </c>
      <c r="D20" s="106">
        <f>E20+G20+I20+J20</f>
        <v>361558.5</v>
      </c>
      <c r="E20" s="113">
        <f>42742.5+3690+134346.75</f>
        <v>180779.25</v>
      </c>
      <c r="F20" s="114">
        <f>E20/D20</f>
        <v>0.5</v>
      </c>
      <c r="G20" s="113">
        <f>42742.5+3690+134346.75</f>
        <v>180779.25</v>
      </c>
      <c r="H20" s="114">
        <f>G20/D20</f>
        <v>0.5</v>
      </c>
      <c r="I20" s="113">
        <v>0</v>
      </c>
      <c r="J20" s="113">
        <v>0</v>
      </c>
      <c r="K20" s="114">
        <f>(J20+I20)/D20</f>
        <v>0</v>
      </c>
      <c r="L20" s="77" t="s">
        <v>14</v>
      </c>
    </row>
    <row r="21" spans="1:13" ht="33.75" x14ac:dyDescent="0.25">
      <c r="A21" s="215">
        <v>14</v>
      </c>
      <c r="B21" s="81" t="s">
        <v>516</v>
      </c>
      <c r="C21" s="82" t="s">
        <v>427</v>
      </c>
      <c r="D21" s="139">
        <f>E21+G21+I21+J21</f>
        <v>2228367.63</v>
      </c>
      <c r="E21" s="113">
        <v>594600.44999999995</v>
      </c>
      <c r="F21" s="114">
        <f>E21/D21</f>
        <v>0.27</v>
      </c>
      <c r="G21" s="113">
        <v>176463.18</v>
      </c>
      <c r="H21" s="114">
        <f>G21/D21</f>
        <v>0.08</v>
      </c>
      <c r="I21" s="113">
        <v>1457304</v>
      </c>
      <c r="J21" s="113">
        <v>0</v>
      </c>
      <c r="K21" s="114">
        <f>(J21+I21)/D21</f>
        <v>0.65</v>
      </c>
      <c r="L21" s="77" t="s">
        <v>14</v>
      </c>
    </row>
    <row r="22" spans="1:13" ht="67.5" x14ac:dyDescent="0.25">
      <c r="A22" s="215">
        <v>15</v>
      </c>
      <c r="B22" s="81" t="s">
        <v>517</v>
      </c>
      <c r="C22" s="82" t="s">
        <v>484</v>
      </c>
      <c r="D22" s="139">
        <f>E22+G22+I22+J22</f>
        <v>506656.68</v>
      </c>
      <c r="E22" s="113">
        <v>75857.740000000005</v>
      </c>
      <c r="F22" s="114">
        <f>E22/D22</f>
        <v>0.15</v>
      </c>
      <c r="G22" s="113">
        <v>75574.94</v>
      </c>
      <c r="H22" s="114">
        <f>G22/D22</f>
        <v>0.15</v>
      </c>
      <c r="I22" s="113">
        <v>355224</v>
      </c>
      <c r="J22" s="113">
        <v>0</v>
      </c>
      <c r="K22" s="114">
        <f>(J22+I22)/D22</f>
        <v>0.7</v>
      </c>
      <c r="L22" s="77" t="s">
        <v>14</v>
      </c>
      <c r="M22" s="115"/>
    </row>
    <row r="23" spans="1:13" ht="33.75" x14ac:dyDescent="0.25">
      <c r="A23" s="215">
        <v>16</v>
      </c>
      <c r="B23" s="81" t="s">
        <v>516</v>
      </c>
      <c r="C23" s="82" t="s">
        <v>428</v>
      </c>
      <c r="D23" s="139">
        <f t="shared" si="22"/>
        <v>407523.6</v>
      </c>
      <c r="E23" s="113">
        <v>55185.8</v>
      </c>
      <c r="F23" s="114">
        <f t="shared" ref="F23:F24" si="23">E23/D23</f>
        <v>0.14000000000000001</v>
      </c>
      <c r="G23" s="113">
        <v>55177.8</v>
      </c>
      <c r="H23" s="114">
        <f t="shared" ref="H23:H24" si="24">G23/D23</f>
        <v>0.14000000000000001</v>
      </c>
      <c r="I23" s="113">
        <v>297160</v>
      </c>
      <c r="J23" s="113">
        <v>0</v>
      </c>
      <c r="K23" s="114">
        <f t="shared" ref="K23:K24" si="25">(J23+I23)/D23</f>
        <v>0.73</v>
      </c>
      <c r="L23" s="77" t="s">
        <v>14</v>
      </c>
      <c r="M23" s="115"/>
    </row>
    <row r="24" spans="1:13" x14ac:dyDescent="0.25">
      <c r="A24" s="380" t="s">
        <v>34</v>
      </c>
      <c r="B24" s="381"/>
      <c r="C24" s="382"/>
      <c r="D24" s="202">
        <f>SUM(D8:D23)</f>
        <v>7498185.5800000001</v>
      </c>
      <c r="E24" s="202">
        <f>SUM(E8:E23)</f>
        <v>2296094.41</v>
      </c>
      <c r="F24" s="201">
        <f t="shared" si="23"/>
        <v>0.31</v>
      </c>
      <c r="G24" s="202">
        <f>SUM(G8:G23)</f>
        <v>1875595.81</v>
      </c>
      <c r="H24" s="201">
        <f t="shared" si="24"/>
        <v>0.25</v>
      </c>
      <c r="I24" s="202">
        <f>SUM(I8:I23)</f>
        <v>3326495.36</v>
      </c>
      <c r="J24" s="202">
        <f>SUM(J8:J23)</f>
        <v>0</v>
      </c>
      <c r="K24" s="201">
        <f t="shared" si="25"/>
        <v>0.44</v>
      </c>
      <c r="L24" s="320"/>
    </row>
  </sheetData>
  <mergeCells count="18">
    <mergeCell ref="A24:C24"/>
    <mergeCell ref="A3:A6"/>
    <mergeCell ref="B3:B6"/>
    <mergeCell ref="C3:C6"/>
    <mergeCell ref="D3:D6"/>
    <mergeCell ref="A2:L2"/>
    <mergeCell ref="L3:L6"/>
    <mergeCell ref="E3:K3"/>
    <mergeCell ref="E5:E6"/>
    <mergeCell ref="F5:F6"/>
    <mergeCell ref="G5:G6"/>
    <mergeCell ref="H5:H6"/>
    <mergeCell ref="I5:I6"/>
    <mergeCell ref="J5:J6"/>
    <mergeCell ref="K5:K6"/>
    <mergeCell ref="E4:F4"/>
    <mergeCell ref="G4:H4"/>
    <mergeCell ref="I4:K4"/>
  </mergeCells>
  <phoneticPr fontId="19" type="noConversion"/>
  <pageMargins left="0.7" right="0.7" top="0.75" bottom="0.75" header="0.3" footer="0.3"/>
  <ignoredErrors>
    <ignoredError sqref="F20 H24 F24" formula="1"/>
    <ignoredError sqref="I24:J24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39"/>
  <sheetViews>
    <sheetView zoomScaleNormal="100" workbookViewId="0">
      <pane ySplit="6" topLeftCell="A7" activePane="bottomLeft" state="frozen"/>
      <selection pane="bottomLeft" activeCell="C10" sqref="C10"/>
    </sheetView>
  </sheetViews>
  <sheetFormatPr defaultRowHeight="15" x14ac:dyDescent="0.25"/>
  <cols>
    <col min="1" max="1" width="9.140625" style="214"/>
    <col min="2" max="2" width="16.42578125" style="50" customWidth="1"/>
    <col min="3" max="3" width="46.5703125" customWidth="1"/>
    <col min="4" max="4" width="13.7109375" style="54" customWidth="1"/>
    <col min="5" max="5" width="14.5703125" style="54" bestFit="1" customWidth="1"/>
    <col min="6" max="6" width="15" customWidth="1"/>
    <col min="7" max="7" width="14.5703125" style="54" bestFit="1" customWidth="1"/>
    <col min="8" max="8" width="13.42578125" customWidth="1"/>
    <col min="9" max="9" width="15.140625" style="54" customWidth="1"/>
    <col min="10" max="10" width="14.5703125" style="54" bestFit="1" customWidth="1"/>
    <col min="11" max="11" width="13.85546875" customWidth="1"/>
    <col min="12" max="12" width="19.7109375" style="50" customWidth="1"/>
    <col min="13" max="13" width="14.85546875" bestFit="1" customWidth="1"/>
  </cols>
  <sheetData>
    <row r="2" spans="1:12" ht="54.75" customHeight="1" x14ac:dyDescent="0.25">
      <c r="A2" s="338" t="s">
        <v>491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12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12" ht="42.7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12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12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12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12" ht="33.75" x14ac:dyDescent="0.25">
      <c r="A8" s="215">
        <v>1</v>
      </c>
      <c r="B8" s="97">
        <v>2015</v>
      </c>
      <c r="C8" s="28" t="s">
        <v>131</v>
      </c>
      <c r="D8" s="321">
        <f>E8+G8+I8+J8</f>
        <v>652897.02</v>
      </c>
      <c r="E8" s="59">
        <v>326448.51</v>
      </c>
      <c r="F8" s="34">
        <f>E8/D8</f>
        <v>0.5</v>
      </c>
      <c r="G8" s="60">
        <v>326448.51</v>
      </c>
      <c r="H8" s="32">
        <f>G8/D8</f>
        <v>0.5</v>
      </c>
      <c r="I8" s="59">
        <v>0</v>
      </c>
      <c r="J8" s="60">
        <v>0</v>
      </c>
      <c r="K8" s="32">
        <f>(I8+J8)/D8</f>
        <v>0</v>
      </c>
      <c r="L8" s="23" t="s">
        <v>14</v>
      </c>
    </row>
    <row r="9" spans="1:12" ht="24.75" customHeight="1" x14ac:dyDescent="0.25">
      <c r="A9" s="215">
        <v>2</v>
      </c>
      <c r="B9" s="97">
        <v>2015</v>
      </c>
      <c r="C9" s="28" t="s">
        <v>132</v>
      </c>
      <c r="D9" s="321">
        <f>E9+G9+I9+J9</f>
        <v>139230.75</v>
      </c>
      <c r="E9" s="59">
        <v>69615.37</v>
      </c>
      <c r="F9" s="34">
        <f t="shared" ref="F9" si="0">E9/D9</f>
        <v>0.5</v>
      </c>
      <c r="G9" s="60">
        <v>69615.38</v>
      </c>
      <c r="H9" s="32">
        <f t="shared" ref="H9" si="1">G9/D9</f>
        <v>0.5</v>
      </c>
      <c r="I9" s="59">
        <v>0</v>
      </c>
      <c r="J9" s="60">
        <v>0</v>
      </c>
      <c r="K9" s="32">
        <f t="shared" ref="K9" si="2">(I9+J9)/D9</f>
        <v>0</v>
      </c>
      <c r="L9" s="14" t="s">
        <v>14</v>
      </c>
    </row>
    <row r="10" spans="1:12" ht="45" x14ac:dyDescent="0.25">
      <c r="A10" s="216">
        <v>3</v>
      </c>
      <c r="B10" s="119">
        <v>2015</v>
      </c>
      <c r="C10" s="28" t="s">
        <v>133</v>
      </c>
      <c r="D10" s="321">
        <v>32657.3</v>
      </c>
      <c r="E10" s="59">
        <f>D10-G10</f>
        <v>16328.65</v>
      </c>
      <c r="F10" s="34">
        <f t="shared" ref="F10" si="3">E10/D10</f>
        <v>0.5</v>
      </c>
      <c r="G10" s="60">
        <v>16328.65</v>
      </c>
      <c r="H10" s="32">
        <f t="shared" ref="H10" si="4">G10/D10</f>
        <v>0.5</v>
      </c>
      <c r="I10" s="59">
        <v>0</v>
      </c>
      <c r="J10" s="60">
        <v>0</v>
      </c>
      <c r="K10" s="32">
        <f t="shared" ref="K10" si="5">(I10+J10)/D10</f>
        <v>0</v>
      </c>
      <c r="L10" s="14" t="s">
        <v>14</v>
      </c>
    </row>
    <row r="11" spans="1:12" ht="45" x14ac:dyDescent="0.25">
      <c r="A11" s="215">
        <v>4</v>
      </c>
      <c r="B11" s="119">
        <v>2015</v>
      </c>
      <c r="C11" s="28" t="s">
        <v>134</v>
      </c>
      <c r="D11" s="321">
        <f t="shared" ref="D11" si="6">E11+G11+I11+J11</f>
        <v>24507</v>
      </c>
      <c r="E11" s="59">
        <v>12253.5</v>
      </c>
      <c r="F11" s="34">
        <f t="shared" ref="F11" si="7">E11/D11</f>
        <v>0.5</v>
      </c>
      <c r="G11" s="60">
        <v>12253.5</v>
      </c>
      <c r="H11" s="32">
        <f t="shared" ref="H11" si="8">G11/D11</f>
        <v>0.5</v>
      </c>
      <c r="I11" s="59">
        <v>0</v>
      </c>
      <c r="J11" s="60">
        <v>0</v>
      </c>
      <c r="K11" s="32">
        <f t="shared" ref="K11" si="9">(I11+J11)/D11</f>
        <v>0</v>
      </c>
      <c r="L11" s="14" t="s">
        <v>14</v>
      </c>
    </row>
    <row r="12" spans="1:12" ht="22.5" x14ac:dyDescent="0.25">
      <c r="A12" s="215">
        <v>5</v>
      </c>
      <c r="B12" s="119">
        <v>2016</v>
      </c>
      <c r="C12" s="28" t="s">
        <v>135</v>
      </c>
      <c r="D12" s="321">
        <f t="shared" ref="D12" si="10">E12+G12+I12+J12</f>
        <v>678164.1</v>
      </c>
      <c r="E12" s="59">
        <v>339082.05</v>
      </c>
      <c r="F12" s="34">
        <f t="shared" ref="F12" si="11">E12/D12</f>
        <v>0.5</v>
      </c>
      <c r="G12" s="60">
        <v>339082.05</v>
      </c>
      <c r="H12" s="32">
        <f t="shared" ref="H12" si="12">G12/D12</f>
        <v>0.5</v>
      </c>
      <c r="I12" s="59">
        <v>0</v>
      </c>
      <c r="J12" s="59">
        <v>0</v>
      </c>
      <c r="K12" s="32">
        <f t="shared" ref="K12" si="13">(I12+J12)/D12</f>
        <v>0</v>
      </c>
      <c r="L12" s="11" t="s">
        <v>14</v>
      </c>
    </row>
    <row r="13" spans="1:12" ht="33.75" x14ac:dyDescent="0.25">
      <c r="A13" s="216">
        <v>6</v>
      </c>
      <c r="B13" s="97">
        <v>2016</v>
      </c>
      <c r="C13" s="28" t="s">
        <v>136</v>
      </c>
      <c r="D13" s="321">
        <f t="shared" ref="D13" si="14">E13+G13+I13+J13</f>
        <v>825431.36</v>
      </c>
      <c r="E13" s="59">
        <v>412715.68</v>
      </c>
      <c r="F13" s="34">
        <f t="shared" ref="F13" si="15">E13/D13</f>
        <v>0.5</v>
      </c>
      <c r="G13" s="60">
        <v>412715.68</v>
      </c>
      <c r="H13" s="32">
        <f t="shared" ref="H13" si="16">G13/D13</f>
        <v>0.5</v>
      </c>
      <c r="I13" s="59">
        <v>0</v>
      </c>
      <c r="J13" s="59">
        <v>0</v>
      </c>
      <c r="K13" s="32">
        <f t="shared" ref="K13" si="17">(I13+J13)/D13</f>
        <v>0</v>
      </c>
      <c r="L13" s="11" t="s">
        <v>14</v>
      </c>
    </row>
    <row r="14" spans="1:12" ht="33.75" x14ac:dyDescent="0.25">
      <c r="A14" s="215">
        <v>7</v>
      </c>
      <c r="B14" s="97">
        <v>2016</v>
      </c>
      <c r="C14" s="28" t="s">
        <v>137</v>
      </c>
      <c r="D14" s="321">
        <f t="shared" ref="D14" si="18">E14+G14+I14+J14</f>
        <v>59991.6</v>
      </c>
      <c r="E14" s="59">
        <v>29995.8</v>
      </c>
      <c r="F14" s="34">
        <f t="shared" ref="F14" si="19">E14/D14</f>
        <v>0.5</v>
      </c>
      <c r="G14" s="60">
        <v>29995.8</v>
      </c>
      <c r="H14" s="32">
        <f t="shared" ref="H14" si="20">G14/D14</f>
        <v>0.5</v>
      </c>
      <c r="I14" s="59">
        <v>0</v>
      </c>
      <c r="J14" s="60">
        <v>0</v>
      </c>
      <c r="K14" s="32">
        <f t="shared" ref="K14" si="21">(I14+J14)/D14</f>
        <v>0</v>
      </c>
      <c r="L14" s="11" t="s">
        <v>14</v>
      </c>
    </row>
    <row r="15" spans="1:12" ht="33.75" x14ac:dyDescent="0.25">
      <c r="A15" s="215">
        <v>8</v>
      </c>
      <c r="B15" s="97">
        <v>2016</v>
      </c>
      <c r="C15" s="92" t="s">
        <v>138</v>
      </c>
      <c r="D15" s="106">
        <f t="shared" ref="D15" si="22">E15+G15+I15+J15</f>
        <v>20725.5</v>
      </c>
      <c r="E15" s="93">
        <v>20725.5</v>
      </c>
      <c r="F15" s="107">
        <f t="shared" ref="F15" si="23">E15/D15</f>
        <v>1</v>
      </c>
      <c r="G15" s="94">
        <v>0</v>
      </c>
      <c r="H15" s="112">
        <f t="shared" ref="H15" si="24">G15/D15</f>
        <v>0</v>
      </c>
      <c r="I15" s="93">
        <v>0</v>
      </c>
      <c r="J15" s="94">
        <v>0</v>
      </c>
      <c r="K15" s="112">
        <f t="shared" ref="K15" si="25">(I15+J15)/D15</f>
        <v>0</v>
      </c>
      <c r="L15" s="77" t="s">
        <v>14</v>
      </c>
    </row>
    <row r="16" spans="1:12" ht="22.5" x14ac:dyDescent="0.25">
      <c r="A16" s="216">
        <v>9</v>
      </c>
      <c r="B16" s="97">
        <v>2017</v>
      </c>
      <c r="C16" s="28" t="s">
        <v>139</v>
      </c>
      <c r="D16" s="321">
        <f t="shared" ref="D16" si="26">E16+G16+I16+J16</f>
        <v>2498836.13</v>
      </c>
      <c r="E16" s="59">
        <v>1249418.07</v>
      </c>
      <c r="F16" s="34">
        <f t="shared" ref="F16" si="27">E16/D16</f>
        <v>0.5</v>
      </c>
      <c r="G16" s="60">
        <v>1249418.06</v>
      </c>
      <c r="H16" s="32">
        <f t="shared" ref="H16" si="28">G16/D16</f>
        <v>0.5</v>
      </c>
      <c r="I16" s="59">
        <v>0</v>
      </c>
      <c r="J16" s="60">
        <v>0</v>
      </c>
      <c r="K16" s="32">
        <f t="shared" ref="K16" si="29">(I16+J16)/D16</f>
        <v>0</v>
      </c>
      <c r="L16" s="14" t="s">
        <v>14</v>
      </c>
    </row>
    <row r="17" spans="1:13" ht="33.75" x14ac:dyDescent="0.25">
      <c r="A17" s="215">
        <v>10</v>
      </c>
      <c r="B17" s="97">
        <v>2017</v>
      </c>
      <c r="C17" s="28" t="s">
        <v>140</v>
      </c>
      <c r="D17" s="321">
        <f t="shared" ref="D17" si="30">E17+G17+I17+J17</f>
        <v>188530.91</v>
      </c>
      <c r="E17" s="59">
        <v>94265.46</v>
      </c>
      <c r="F17" s="34">
        <f t="shared" ref="F17" si="31">E17/D17</f>
        <v>0.5</v>
      </c>
      <c r="G17" s="60">
        <v>94265.45</v>
      </c>
      <c r="H17" s="32">
        <f t="shared" ref="H17" si="32">G17/D17</f>
        <v>0.5</v>
      </c>
      <c r="I17" s="59">
        <v>0</v>
      </c>
      <c r="J17" s="59">
        <v>0</v>
      </c>
      <c r="K17" s="32">
        <f t="shared" ref="K17" si="33">(I17+J17)/D17</f>
        <v>0</v>
      </c>
      <c r="L17" s="11" t="s">
        <v>14</v>
      </c>
    </row>
    <row r="18" spans="1:13" ht="45" x14ac:dyDescent="0.25">
      <c r="A18" s="215">
        <v>11</v>
      </c>
      <c r="B18" s="97">
        <v>2017</v>
      </c>
      <c r="C18" s="28" t="s">
        <v>141</v>
      </c>
      <c r="D18" s="321">
        <f t="shared" ref="D18" si="34">E18+G18+I18+J18</f>
        <v>43050</v>
      </c>
      <c r="E18" s="59">
        <v>21525</v>
      </c>
      <c r="F18" s="34">
        <f t="shared" ref="F18" si="35">E18/D18</f>
        <v>0.5</v>
      </c>
      <c r="G18" s="60">
        <v>21525</v>
      </c>
      <c r="H18" s="32">
        <f t="shared" ref="H18" si="36">G18/D18</f>
        <v>0.5</v>
      </c>
      <c r="I18" s="59">
        <v>0</v>
      </c>
      <c r="J18" s="59">
        <v>0</v>
      </c>
      <c r="K18" s="32">
        <f t="shared" ref="K18" si="37">(I18+J18)/D18</f>
        <v>0</v>
      </c>
      <c r="L18" s="11" t="s">
        <v>14</v>
      </c>
    </row>
    <row r="19" spans="1:13" ht="23.25" customHeight="1" x14ac:dyDescent="0.25">
      <c r="A19" s="216">
        <v>12</v>
      </c>
      <c r="B19" s="97">
        <v>2017</v>
      </c>
      <c r="C19" s="92" t="s">
        <v>396</v>
      </c>
      <c r="D19" s="106">
        <v>47724</v>
      </c>
      <c r="E19" s="93">
        <v>47724</v>
      </c>
      <c r="F19" s="107">
        <f t="shared" ref="F19" si="38">E19/D19</f>
        <v>1</v>
      </c>
      <c r="G19" s="94">
        <v>0</v>
      </c>
      <c r="H19" s="112">
        <f t="shared" ref="H19" si="39">G19/D19</f>
        <v>0</v>
      </c>
      <c r="I19" s="93">
        <v>0</v>
      </c>
      <c r="J19" s="94">
        <v>0</v>
      </c>
      <c r="K19" s="112">
        <f t="shared" ref="K19" si="40">(I19+J19)/D19</f>
        <v>0</v>
      </c>
      <c r="L19" s="312" t="s">
        <v>14</v>
      </c>
    </row>
    <row r="20" spans="1:13" ht="34.5" customHeight="1" x14ac:dyDescent="0.25">
      <c r="A20" s="215">
        <v>13</v>
      </c>
      <c r="B20" s="97">
        <v>2018</v>
      </c>
      <c r="C20" s="28" t="s">
        <v>142</v>
      </c>
      <c r="D20" s="321">
        <f t="shared" ref="D20" si="41">E20+G20+I20+J20</f>
        <v>4104804.22</v>
      </c>
      <c r="E20" s="59">
        <v>1380414.23</v>
      </c>
      <c r="F20" s="34">
        <f t="shared" ref="F20" si="42">E20/D20</f>
        <v>0.34</v>
      </c>
      <c r="G20" s="60">
        <v>1380441.22</v>
      </c>
      <c r="H20" s="32">
        <f t="shared" ref="H20" si="43">G20/D20</f>
        <v>0.34</v>
      </c>
      <c r="I20" s="59">
        <v>0</v>
      </c>
      <c r="J20" s="59">
        <v>1343948.77</v>
      </c>
      <c r="K20" s="32">
        <f t="shared" ref="K20" si="44">(I20+J20)/D20</f>
        <v>0.33</v>
      </c>
      <c r="L20" s="11" t="s">
        <v>14</v>
      </c>
    </row>
    <row r="21" spans="1:13" ht="22.5" x14ac:dyDescent="0.25">
      <c r="A21" s="215">
        <v>14</v>
      </c>
      <c r="B21" s="97">
        <v>2018</v>
      </c>
      <c r="C21" s="92" t="s">
        <v>143</v>
      </c>
      <c r="D21" s="106">
        <f>E21+G21+I21+J21</f>
        <v>19680</v>
      </c>
      <c r="E21" s="93">
        <v>9840</v>
      </c>
      <c r="F21" s="107">
        <f t="shared" ref="F21" si="45">E21/D21</f>
        <v>0.5</v>
      </c>
      <c r="G21" s="94">
        <v>9840</v>
      </c>
      <c r="H21" s="112">
        <f t="shared" ref="H21" si="46">G21/D21</f>
        <v>0.5</v>
      </c>
      <c r="I21" s="93">
        <v>0</v>
      </c>
      <c r="J21" s="93">
        <v>0</v>
      </c>
      <c r="K21" s="112">
        <f t="shared" ref="K21" si="47">(I21+J21)/D21</f>
        <v>0</v>
      </c>
      <c r="L21" s="77" t="s">
        <v>14</v>
      </c>
    </row>
    <row r="22" spans="1:13" ht="22.5" x14ac:dyDescent="0.25">
      <c r="A22" s="216">
        <v>15</v>
      </c>
      <c r="B22" s="97" t="s">
        <v>460</v>
      </c>
      <c r="C22" s="28" t="s">
        <v>144</v>
      </c>
      <c r="D22" s="321">
        <f t="shared" ref="D22" si="48">E22+G22+I22+J22</f>
        <v>50430</v>
      </c>
      <c r="E22" s="59">
        <f>6150+19065</f>
        <v>25215</v>
      </c>
      <c r="F22" s="34">
        <f t="shared" ref="F22" si="49">E22/D22</f>
        <v>0.5</v>
      </c>
      <c r="G22" s="60">
        <v>25215</v>
      </c>
      <c r="H22" s="32">
        <f t="shared" ref="H22" si="50">G22/D22</f>
        <v>0.5</v>
      </c>
      <c r="I22" s="59">
        <v>0</v>
      </c>
      <c r="J22" s="59">
        <v>0</v>
      </c>
      <c r="K22" s="32">
        <f t="shared" ref="K22" si="51">(I22+J22)/D22</f>
        <v>0</v>
      </c>
      <c r="L22" s="11" t="s">
        <v>14</v>
      </c>
      <c r="M22" s="80"/>
    </row>
    <row r="23" spans="1:13" ht="22.5" x14ac:dyDescent="0.25">
      <c r="A23" s="215">
        <v>16</v>
      </c>
      <c r="B23" s="97">
        <v>2018</v>
      </c>
      <c r="C23" s="92" t="s">
        <v>145</v>
      </c>
      <c r="D23" s="106">
        <f t="shared" ref="D23" si="52">E23+G23+I23+J23</f>
        <v>149988.66</v>
      </c>
      <c r="E23" s="93">
        <v>149988.66</v>
      </c>
      <c r="F23" s="107">
        <f t="shared" ref="F23" si="53">E23/D23</f>
        <v>1</v>
      </c>
      <c r="G23" s="94">
        <v>0</v>
      </c>
      <c r="H23" s="112">
        <f t="shared" ref="H23" si="54">G23/D23</f>
        <v>0</v>
      </c>
      <c r="I23" s="93">
        <v>0</v>
      </c>
      <c r="J23" s="93">
        <v>0</v>
      </c>
      <c r="K23" s="112">
        <f t="shared" ref="K23" si="55">(I23+J23)/D23</f>
        <v>0</v>
      </c>
      <c r="L23" s="77" t="s">
        <v>14</v>
      </c>
      <c r="M23" s="234"/>
    </row>
    <row r="24" spans="1:13" ht="33.75" x14ac:dyDescent="0.25">
      <c r="A24" s="215">
        <v>17</v>
      </c>
      <c r="B24" s="97" t="s">
        <v>461</v>
      </c>
      <c r="C24" s="28" t="s">
        <v>355</v>
      </c>
      <c r="D24" s="321">
        <f t="shared" ref="D24:D28" si="56">E24+G24+I24+J24</f>
        <v>2310415.54</v>
      </c>
      <c r="E24" s="59">
        <v>661310.71</v>
      </c>
      <c r="F24" s="34">
        <f t="shared" ref="F24:F33" si="57">E24/D24</f>
        <v>0.28999999999999998</v>
      </c>
      <c r="G24" s="60">
        <v>640793.77</v>
      </c>
      <c r="H24" s="32">
        <f t="shared" ref="H24:H33" si="58">G24/D24</f>
        <v>0.28000000000000003</v>
      </c>
      <c r="I24" s="59">
        <v>1008311.06</v>
      </c>
      <c r="J24" s="60">
        <v>0</v>
      </c>
      <c r="K24" s="32">
        <f>I24/D24</f>
        <v>0.44</v>
      </c>
      <c r="L24" s="23" t="s">
        <v>14</v>
      </c>
      <c r="M24" s="115"/>
    </row>
    <row r="25" spans="1:13" ht="22.5" x14ac:dyDescent="0.25">
      <c r="A25" s="216">
        <v>18</v>
      </c>
      <c r="B25" s="97" t="s">
        <v>461</v>
      </c>
      <c r="C25" s="28" t="s">
        <v>356</v>
      </c>
      <c r="D25" s="321">
        <f t="shared" si="56"/>
        <v>1456015.2</v>
      </c>
      <c r="E25" s="59">
        <v>388163.56</v>
      </c>
      <c r="F25" s="34">
        <f t="shared" si="57"/>
        <v>0.27</v>
      </c>
      <c r="G25" s="60">
        <v>388163.55</v>
      </c>
      <c r="H25" s="32">
        <f t="shared" si="58"/>
        <v>0.27</v>
      </c>
      <c r="I25" s="59">
        <v>679688.09</v>
      </c>
      <c r="J25" s="60">
        <v>0</v>
      </c>
      <c r="K25" s="32">
        <f>I25/D25</f>
        <v>0.47</v>
      </c>
      <c r="L25" s="23" t="s">
        <v>14</v>
      </c>
    </row>
    <row r="26" spans="1:13" x14ac:dyDescent="0.25">
      <c r="A26" s="215">
        <v>19</v>
      </c>
      <c r="B26" s="97">
        <v>2021</v>
      </c>
      <c r="C26" s="28" t="s">
        <v>357</v>
      </c>
      <c r="D26" s="321">
        <f t="shared" si="56"/>
        <v>986287.15</v>
      </c>
      <c r="E26" s="59">
        <v>272144.40999999997</v>
      </c>
      <c r="F26" s="34">
        <f t="shared" si="57"/>
        <v>0.28000000000000003</v>
      </c>
      <c r="G26" s="60">
        <v>272144.40999999997</v>
      </c>
      <c r="H26" s="32">
        <f t="shared" si="58"/>
        <v>0.28000000000000003</v>
      </c>
      <c r="I26" s="59">
        <v>441998.33</v>
      </c>
      <c r="J26" s="60">
        <v>0</v>
      </c>
      <c r="K26" s="32">
        <f>I26/D26</f>
        <v>0.45</v>
      </c>
      <c r="L26" s="23" t="s">
        <v>14</v>
      </c>
      <c r="M26" s="115"/>
    </row>
    <row r="27" spans="1:13" ht="22.5" x14ac:dyDescent="0.25">
      <c r="A27" s="215">
        <v>20</v>
      </c>
      <c r="B27" s="97">
        <v>2021</v>
      </c>
      <c r="C27" s="28" t="s">
        <v>358</v>
      </c>
      <c r="D27" s="321">
        <f t="shared" si="56"/>
        <v>11562</v>
      </c>
      <c r="E27" s="59">
        <v>5781</v>
      </c>
      <c r="F27" s="34">
        <f t="shared" si="57"/>
        <v>0.5</v>
      </c>
      <c r="G27" s="60">
        <v>5781</v>
      </c>
      <c r="H27" s="32">
        <f t="shared" si="58"/>
        <v>0.5</v>
      </c>
      <c r="I27" s="59">
        <v>0</v>
      </c>
      <c r="J27" s="60">
        <v>0</v>
      </c>
      <c r="K27" s="40">
        <v>0</v>
      </c>
      <c r="L27" s="14" t="s">
        <v>14</v>
      </c>
    </row>
    <row r="28" spans="1:13" ht="22.5" x14ac:dyDescent="0.25">
      <c r="A28" s="216">
        <v>21</v>
      </c>
      <c r="B28" s="97">
        <v>2022</v>
      </c>
      <c r="C28" s="28" t="s">
        <v>359</v>
      </c>
      <c r="D28" s="321">
        <f t="shared" si="56"/>
        <v>1626979.61</v>
      </c>
      <c r="E28" s="59">
        <v>437049.37</v>
      </c>
      <c r="F28" s="34">
        <f t="shared" si="57"/>
        <v>0.27</v>
      </c>
      <c r="G28" s="60">
        <v>403244.42</v>
      </c>
      <c r="H28" s="32">
        <f t="shared" si="58"/>
        <v>0.25</v>
      </c>
      <c r="I28" s="59">
        <v>786685.82</v>
      </c>
      <c r="J28" s="59">
        <v>0</v>
      </c>
      <c r="K28" s="35">
        <f>I28/D28</f>
        <v>0.48</v>
      </c>
      <c r="L28" s="11" t="s">
        <v>14</v>
      </c>
      <c r="M28" s="115"/>
    </row>
    <row r="29" spans="1:13" ht="22.5" x14ac:dyDescent="0.25">
      <c r="A29" s="215">
        <v>22</v>
      </c>
      <c r="B29" s="97">
        <v>2022</v>
      </c>
      <c r="C29" s="28" t="s">
        <v>360</v>
      </c>
      <c r="D29" s="321">
        <f t="shared" ref="D29:D33" si="59">E29+G29+I29+J29</f>
        <v>229115.48</v>
      </c>
      <c r="E29" s="59">
        <v>114557.74</v>
      </c>
      <c r="F29" s="34">
        <f t="shared" si="57"/>
        <v>0.5</v>
      </c>
      <c r="G29" s="60">
        <v>114557.74</v>
      </c>
      <c r="H29" s="32">
        <f t="shared" si="58"/>
        <v>0.5</v>
      </c>
      <c r="I29" s="59">
        <v>0</v>
      </c>
      <c r="J29" s="60">
        <v>0</v>
      </c>
      <c r="K29" s="32">
        <v>0</v>
      </c>
      <c r="L29" s="23" t="s">
        <v>14</v>
      </c>
    </row>
    <row r="30" spans="1:13" ht="56.25" x14ac:dyDescent="0.25">
      <c r="A30" s="215">
        <v>23</v>
      </c>
      <c r="B30" s="97" t="s">
        <v>465</v>
      </c>
      <c r="C30" s="28" t="s">
        <v>361</v>
      </c>
      <c r="D30" s="321">
        <f t="shared" si="59"/>
        <v>83394</v>
      </c>
      <c r="E30" s="59">
        <v>41697</v>
      </c>
      <c r="F30" s="34">
        <f t="shared" si="57"/>
        <v>0.5</v>
      </c>
      <c r="G30" s="60">
        <f>34317+7380</f>
        <v>41697</v>
      </c>
      <c r="H30" s="32">
        <f t="shared" si="58"/>
        <v>0.5</v>
      </c>
      <c r="I30" s="59">
        <v>0</v>
      </c>
      <c r="J30" s="60">
        <v>0</v>
      </c>
      <c r="K30" s="32">
        <v>0</v>
      </c>
      <c r="L30" s="23" t="s">
        <v>14</v>
      </c>
    </row>
    <row r="31" spans="1:13" ht="56.25" x14ac:dyDescent="0.25">
      <c r="A31" s="216">
        <v>24</v>
      </c>
      <c r="B31" s="97" t="s">
        <v>518</v>
      </c>
      <c r="C31" s="322" t="s">
        <v>362</v>
      </c>
      <c r="D31" s="321">
        <f t="shared" si="59"/>
        <v>381409.47</v>
      </c>
      <c r="E31" s="59">
        <v>190704.74</v>
      </c>
      <c r="F31" s="34">
        <f t="shared" si="57"/>
        <v>0.5</v>
      </c>
      <c r="G31" s="60">
        <f>15067.5+175637.23</f>
        <v>190704.73</v>
      </c>
      <c r="H31" s="32">
        <f t="shared" si="58"/>
        <v>0.5</v>
      </c>
      <c r="I31" s="59">
        <v>0</v>
      </c>
      <c r="J31" s="60">
        <v>0</v>
      </c>
      <c r="K31" s="32">
        <f>I31/D31</f>
        <v>0</v>
      </c>
      <c r="L31" s="23" t="s">
        <v>14</v>
      </c>
    </row>
    <row r="32" spans="1:13" ht="33.75" x14ac:dyDescent="0.25">
      <c r="A32" s="215">
        <v>25</v>
      </c>
      <c r="B32" s="119">
        <v>2022</v>
      </c>
      <c r="C32" s="28" t="s">
        <v>363</v>
      </c>
      <c r="D32" s="321">
        <f t="shared" si="59"/>
        <v>131954.4</v>
      </c>
      <c r="E32" s="59">
        <v>22681.200000000001</v>
      </c>
      <c r="F32" s="34">
        <f t="shared" si="57"/>
        <v>0.17</v>
      </c>
      <c r="G32" s="60">
        <v>22681.200000000001</v>
      </c>
      <c r="H32" s="32">
        <f t="shared" si="58"/>
        <v>0.17</v>
      </c>
      <c r="I32" s="59">
        <v>86592</v>
      </c>
      <c r="J32" s="60">
        <v>0</v>
      </c>
      <c r="K32" s="32">
        <f>I32/D32</f>
        <v>0.66</v>
      </c>
      <c r="L32" s="23" t="s">
        <v>14</v>
      </c>
      <c r="M32" s="115"/>
    </row>
    <row r="33" spans="1:13" ht="33.75" x14ac:dyDescent="0.25">
      <c r="A33" s="215">
        <v>26</v>
      </c>
      <c r="B33" s="119">
        <v>2022</v>
      </c>
      <c r="C33" s="28" t="s">
        <v>364</v>
      </c>
      <c r="D33" s="321">
        <f t="shared" si="59"/>
        <v>125595.3</v>
      </c>
      <c r="E33" s="59">
        <v>19501.650000000001</v>
      </c>
      <c r="F33" s="34">
        <f t="shared" si="57"/>
        <v>0.16</v>
      </c>
      <c r="G33" s="60">
        <v>19501.650000000001</v>
      </c>
      <c r="H33" s="32">
        <f t="shared" si="58"/>
        <v>0.16</v>
      </c>
      <c r="I33" s="59">
        <v>86592</v>
      </c>
      <c r="J33" s="60">
        <v>0</v>
      </c>
      <c r="K33" s="32">
        <f>I33/D33</f>
        <v>0.69</v>
      </c>
      <c r="L33" s="23" t="s">
        <v>14</v>
      </c>
    </row>
    <row r="34" spans="1:13" ht="22.5" x14ac:dyDescent="0.25">
      <c r="A34" s="216">
        <v>27</v>
      </c>
      <c r="B34" s="81" t="s">
        <v>516</v>
      </c>
      <c r="C34" s="323" t="s">
        <v>365</v>
      </c>
      <c r="D34" s="324">
        <f t="shared" ref="D34:D35" si="60">E34+G34+I34+J34</f>
        <v>138006</v>
      </c>
      <c r="E34" s="325">
        <f>56703+12300</f>
        <v>69003</v>
      </c>
      <c r="F34" s="18">
        <f t="shared" ref="F34:F35" si="61">E34/D34</f>
        <v>0.5</v>
      </c>
      <c r="G34" s="326">
        <v>69003</v>
      </c>
      <c r="H34" s="15">
        <f t="shared" ref="H34:H35" si="62">G34/D34</f>
        <v>0.5</v>
      </c>
      <c r="I34" s="325">
        <v>0</v>
      </c>
      <c r="J34" s="326">
        <v>0</v>
      </c>
      <c r="K34" s="15">
        <f>(J34+I34)/D34</f>
        <v>0</v>
      </c>
      <c r="L34" s="14" t="s">
        <v>14</v>
      </c>
    </row>
    <row r="35" spans="1:13" ht="22.5" x14ac:dyDescent="0.25">
      <c r="A35" s="215">
        <v>28</v>
      </c>
      <c r="B35" s="81">
        <v>2023</v>
      </c>
      <c r="C35" s="16" t="s">
        <v>366</v>
      </c>
      <c r="D35" s="327">
        <f t="shared" si="60"/>
        <v>209415.5</v>
      </c>
      <c r="E35" s="328">
        <v>104707.75</v>
      </c>
      <c r="F35" s="20">
        <f t="shared" si="61"/>
        <v>0.5</v>
      </c>
      <c r="G35" s="329">
        <v>104707.75</v>
      </c>
      <c r="H35" s="26">
        <f t="shared" si="62"/>
        <v>0.5</v>
      </c>
      <c r="I35" s="328">
        <v>0</v>
      </c>
      <c r="J35" s="329">
        <v>0</v>
      </c>
      <c r="K35" s="26">
        <f t="shared" ref="K35:K39" si="63">(J35+I35)/D35</f>
        <v>0</v>
      </c>
      <c r="L35" s="25" t="s">
        <v>14</v>
      </c>
    </row>
    <row r="36" spans="1:13" ht="22.5" x14ac:dyDescent="0.25">
      <c r="A36" s="215">
        <v>29</v>
      </c>
      <c r="B36" s="81" t="s">
        <v>521</v>
      </c>
      <c r="C36" s="89" t="s">
        <v>450</v>
      </c>
      <c r="D36" s="330">
        <f t="shared" ref="D36:D37" si="64">E36+G36+I36+J36</f>
        <v>148703.31</v>
      </c>
      <c r="E36" s="153">
        <f>134077.38+14625.93</f>
        <v>148703.31</v>
      </c>
      <c r="F36" s="151">
        <f t="shared" ref="F36:F37" si="65">E36/D36</f>
        <v>1</v>
      </c>
      <c r="G36" s="317">
        <v>0</v>
      </c>
      <c r="H36" s="152">
        <f t="shared" ref="H36:H37" si="66">G36/D36</f>
        <v>0</v>
      </c>
      <c r="I36" s="153">
        <v>0</v>
      </c>
      <c r="J36" s="317">
        <v>0</v>
      </c>
      <c r="K36" s="152">
        <f t="shared" si="63"/>
        <v>0</v>
      </c>
      <c r="L36" s="331" t="s">
        <v>14</v>
      </c>
    </row>
    <row r="37" spans="1:13" ht="45" x14ac:dyDescent="0.25">
      <c r="A37" s="216">
        <v>30</v>
      </c>
      <c r="B37" s="81" t="s">
        <v>516</v>
      </c>
      <c r="C37" s="155" t="s">
        <v>452</v>
      </c>
      <c r="D37" s="330">
        <f t="shared" si="64"/>
        <v>62115</v>
      </c>
      <c r="E37" s="153">
        <f>28597.5+2460</f>
        <v>31057.5</v>
      </c>
      <c r="F37" s="151">
        <f t="shared" si="65"/>
        <v>0.5</v>
      </c>
      <c r="G37" s="317">
        <f>2460+28597.5</f>
        <v>31057.5</v>
      </c>
      <c r="H37" s="152">
        <f t="shared" si="66"/>
        <v>0.5</v>
      </c>
      <c r="I37" s="153">
        <v>0</v>
      </c>
      <c r="J37" s="317">
        <v>0</v>
      </c>
      <c r="K37" s="152">
        <f t="shared" si="63"/>
        <v>0</v>
      </c>
      <c r="L37" s="331" t="s">
        <v>14</v>
      </c>
    </row>
    <row r="38" spans="1:13" ht="45" x14ac:dyDescent="0.25">
      <c r="A38" s="215">
        <v>31</v>
      </c>
      <c r="B38" s="81" t="s">
        <v>502</v>
      </c>
      <c r="C38" s="155" t="s">
        <v>451</v>
      </c>
      <c r="D38" s="330">
        <f t="shared" ref="D38" si="67">E38+G38+I38+J38</f>
        <v>4587232.59</v>
      </c>
      <c r="E38" s="153">
        <v>1063744.79</v>
      </c>
      <c r="F38" s="151">
        <f t="shared" ref="F38:F39" si="68">E38/D38</f>
        <v>0.23</v>
      </c>
      <c r="G38" s="317">
        <v>1022397.47</v>
      </c>
      <c r="H38" s="152">
        <f t="shared" ref="H38:H39" si="69">G38/D38</f>
        <v>0.22</v>
      </c>
      <c r="I38" s="153">
        <v>2501090.33</v>
      </c>
      <c r="J38" s="317">
        <v>0</v>
      </c>
      <c r="K38" s="152">
        <f t="shared" si="63"/>
        <v>0.55000000000000004</v>
      </c>
      <c r="L38" s="331" t="s">
        <v>14</v>
      </c>
      <c r="M38" s="115">
        <f>4587232.59-G38-I38</f>
        <v>1063744.79</v>
      </c>
    </row>
    <row r="39" spans="1:13" x14ac:dyDescent="0.25">
      <c r="A39" s="383" t="s">
        <v>34</v>
      </c>
      <c r="B39" s="384"/>
      <c r="C39" s="385"/>
      <c r="D39" s="172">
        <f>SUM(D8:D38)</f>
        <v>22024849.100000001</v>
      </c>
      <c r="E39" s="172">
        <f>SUM(E8:E38)</f>
        <v>7776363.21</v>
      </c>
      <c r="F39" s="183">
        <f t="shared" si="68"/>
        <v>0.35</v>
      </c>
      <c r="G39" s="172">
        <f>SUM(G8:G38)</f>
        <v>7313579.4900000002</v>
      </c>
      <c r="H39" s="184">
        <f t="shared" si="69"/>
        <v>0.33</v>
      </c>
      <c r="I39" s="172">
        <f>SUM(I8:I38)</f>
        <v>5590957.6299999999</v>
      </c>
      <c r="J39" s="172">
        <f>SUM(J8:J38)</f>
        <v>1343948.77</v>
      </c>
      <c r="K39" s="184">
        <f t="shared" si="63"/>
        <v>0.31</v>
      </c>
      <c r="L39" s="180"/>
    </row>
  </sheetData>
  <mergeCells count="18">
    <mergeCell ref="A39:C39"/>
    <mergeCell ref="A3:A6"/>
    <mergeCell ref="B3:B6"/>
    <mergeCell ref="C3:C6"/>
    <mergeCell ref="D3:D6"/>
    <mergeCell ref="E3:K3"/>
    <mergeCell ref="L3:L6"/>
    <mergeCell ref="A2:L2"/>
    <mergeCell ref="E4:F4"/>
    <mergeCell ref="G4:H4"/>
    <mergeCell ref="I4:K4"/>
    <mergeCell ref="E5:E6"/>
    <mergeCell ref="F5:F6"/>
    <mergeCell ref="G5:G6"/>
    <mergeCell ref="H5:H6"/>
    <mergeCell ref="I5:I6"/>
    <mergeCell ref="J5:J6"/>
    <mergeCell ref="K5:K6"/>
  </mergeCells>
  <phoneticPr fontId="19" type="noConversion"/>
  <pageMargins left="0.7" right="0.7" top="0.75" bottom="0.75" header="0.3" footer="0.3"/>
  <ignoredErrors>
    <ignoredError sqref="H39 F39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R36"/>
  <sheetViews>
    <sheetView topLeftCell="B7" zoomScaleNormal="100" workbookViewId="0">
      <selection activeCell="M8" sqref="M8"/>
    </sheetView>
  </sheetViews>
  <sheetFormatPr defaultRowHeight="15" x14ac:dyDescent="0.25"/>
  <cols>
    <col min="1" max="1" width="9.140625" style="214"/>
    <col min="2" max="2" width="18" style="50" customWidth="1"/>
    <col min="3" max="3" width="31" customWidth="1"/>
    <col min="4" max="4" width="15.5703125" style="54" customWidth="1"/>
    <col min="5" max="5" width="13.7109375" style="54" customWidth="1"/>
    <col min="6" max="6" width="16.85546875" style="50" customWidth="1"/>
    <col min="7" max="7" width="13.42578125" style="54" customWidth="1"/>
    <col min="8" max="8" width="14.85546875" style="50" customWidth="1"/>
    <col min="9" max="9" width="15.85546875" style="54" customWidth="1"/>
    <col min="10" max="10" width="14.42578125" style="54" customWidth="1"/>
    <col min="11" max="11" width="14" style="50" customWidth="1"/>
    <col min="12" max="12" width="21.28515625" style="50" customWidth="1"/>
    <col min="13" max="13" width="14.140625" bestFit="1" customWidth="1"/>
    <col min="14" max="15" width="10" bestFit="1" customWidth="1"/>
    <col min="17" max="17" width="9.7109375" bestFit="1" customWidth="1"/>
  </cols>
  <sheetData>
    <row r="2" spans="1:18" ht="54.75" customHeight="1" x14ac:dyDescent="0.25">
      <c r="A2" s="338" t="s">
        <v>492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18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18" ht="38.2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18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18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18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18" ht="22.5" x14ac:dyDescent="0.25">
      <c r="A8" s="209">
        <v>1</v>
      </c>
      <c r="B8" s="81">
        <v>2015</v>
      </c>
      <c r="C8" s="82" t="s">
        <v>146</v>
      </c>
      <c r="D8" s="139">
        <f>E8+G8+I8+J8</f>
        <v>177607.53</v>
      </c>
      <c r="E8" s="113">
        <v>88803.76</v>
      </c>
      <c r="F8" s="114">
        <f>E8/D8</f>
        <v>0.5</v>
      </c>
      <c r="G8" s="113">
        <v>88803.77</v>
      </c>
      <c r="H8" s="114">
        <f>G8/D8</f>
        <v>0.5</v>
      </c>
      <c r="I8" s="113">
        <v>0</v>
      </c>
      <c r="J8" s="113">
        <v>0</v>
      </c>
      <c r="K8" s="114">
        <f>(J8+I8)/D8</f>
        <v>0</v>
      </c>
      <c r="L8" s="77" t="s">
        <v>14</v>
      </c>
    </row>
    <row r="9" spans="1:18" ht="33.75" x14ac:dyDescent="0.25">
      <c r="A9" s="209">
        <v>2</v>
      </c>
      <c r="B9" s="81">
        <v>2015</v>
      </c>
      <c r="C9" s="82" t="s">
        <v>147</v>
      </c>
      <c r="D9" s="139">
        <f>E9+G9+I9+J9</f>
        <v>112794.8</v>
      </c>
      <c r="E9" s="113">
        <v>56397.4</v>
      </c>
      <c r="F9" s="114">
        <f t="shared" ref="F9:F12" si="0">E9/D9</f>
        <v>0.5</v>
      </c>
      <c r="G9" s="113">
        <v>56397.4</v>
      </c>
      <c r="H9" s="114">
        <f t="shared" ref="H9:H12" si="1">G9/D9</f>
        <v>0.5</v>
      </c>
      <c r="I9" s="113">
        <v>0</v>
      </c>
      <c r="J9" s="113">
        <v>0</v>
      </c>
      <c r="K9" s="114">
        <f t="shared" ref="K9:K12" si="2">(J9+I9)/D9</f>
        <v>0</v>
      </c>
      <c r="L9" s="77" t="s">
        <v>14</v>
      </c>
    </row>
    <row r="10" spans="1:18" ht="33.75" x14ac:dyDescent="0.25">
      <c r="A10" s="209">
        <v>3</v>
      </c>
      <c r="B10" s="81">
        <v>2015</v>
      </c>
      <c r="C10" s="82" t="s">
        <v>148</v>
      </c>
      <c r="D10" s="139">
        <f t="shared" ref="D10:D12" si="3">E10+G10+I10+J10</f>
        <v>97552.85</v>
      </c>
      <c r="E10" s="113">
        <v>48776.42</v>
      </c>
      <c r="F10" s="114">
        <f t="shared" si="0"/>
        <v>0.5</v>
      </c>
      <c r="G10" s="113">
        <v>48776.43</v>
      </c>
      <c r="H10" s="114">
        <f t="shared" si="1"/>
        <v>0.5</v>
      </c>
      <c r="I10" s="113">
        <v>0</v>
      </c>
      <c r="J10" s="113">
        <v>0</v>
      </c>
      <c r="K10" s="114">
        <f t="shared" si="2"/>
        <v>0</v>
      </c>
      <c r="L10" s="77" t="s">
        <v>14</v>
      </c>
    </row>
    <row r="11" spans="1:18" ht="33.75" x14ac:dyDescent="0.25">
      <c r="A11" s="209">
        <v>4</v>
      </c>
      <c r="B11" s="81">
        <v>2015</v>
      </c>
      <c r="C11" s="82" t="s">
        <v>149</v>
      </c>
      <c r="D11" s="139">
        <f t="shared" si="3"/>
        <v>12054</v>
      </c>
      <c r="E11" s="113">
        <v>6027</v>
      </c>
      <c r="F11" s="114">
        <f t="shared" si="0"/>
        <v>0.5</v>
      </c>
      <c r="G11" s="113">
        <v>6027</v>
      </c>
      <c r="H11" s="114">
        <f t="shared" si="1"/>
        <v>0.5</v>
      </c>
      <c r="I11" s="113">
        <v>0</v>
      </c>
      <c r="J11" s="113">
        <v>0</v>
      </c>
      <c r="K11" s="114">
        <f t="shared" si="2"/>
        <v>0</v>
      </c>
      <c r="L11" s="77" t="s">
        <v>14</v>
      </c>
    </row>
    <row r="12" spans="1:18" ht="33.75" x14ac:dyDescent="0.25">
      <c r="A12" s="209">
        <v>5</v>
      </c>
      <c r="B12" s="5">
        <v>2015</v>
      </c>
      <c r="C12" s="82" t="s">
        <v>150</v>
      </c>
      <c r="D12" s="139">
        <f t="shared" si="3"/>
        <v>31268.799999999999</v>
      </c>
      <c r="E12" s="113">
        <v>15634.4</v>
      </c>
      <c r="F12" s="114">
        <f t="shared" si="0"/>
        <v>0.5</v>
      </c>
      <c r="G12" s="113">
        <v>15634.4</v>
      </c>
      <c r="H12" s="114">
        <f t="shared" si="1"/>
        <v>0.5</v>
      </c>
      <c r="I12" s="113">
        <v>0</v>
      </c>
      <c r="J12" s="113">
        <v>0</v>
      </c>
      <c r="K12" s="114">
        <f t="shared" si="2"/>
        <v>0</v>
      </c>
      <c r="L12" s="77" t="s">
        <v>14</v>
      </c>
    </row>
    <row r="13" spans="1:18" ht="33.75" x14ac:dyDescent="0.25">
      <c r="A13" s="209">
        <v>6</v>
      </c>
      <c r="B13" s="81">
        <v>2016</v>
      </c>
      <c r="C13" s="82" t="s">
        <v>151</v>
      </c>
      <c r="D13" s="83">
        <f>E13+G13+I13+J13</f>
        <v>4303457.2699999996</v>
      </c>
      <c r="E13" s="84">
        <v>1194777.6599999999</v>
      </c>
      <c r="F13" s="114">
        <f>E13/D13</f>
        <v>0.28000000000000003</v>
      </c>
      <c r="G13" s="86">
        <v>1194777.6499999999</v>
      </c>
      <c r="H13" s="141">
        <f>G13/D13</f>
        <v>0.28000000000000003</v>
      </c>
      <c r="I13" s="84">
        <v>1913901.96</v>
      </c>
      <c r="J13" s="84">
        <v>0</v>
      </c>
      <c r="K13" s="114">
        <f t="shared" ref="K13:K18" si="4">(J13+I13)/D13</f>
        <v>0.44</v>
      </c>
      <c r="L13" s="235" t="s">
        <v>14</v>
      </c>
      <c r="M13" s="129"/>
      <c r="N13" s="130"/>
      <c r="O13" s="130"/>
      <c r="P13" s="131"/>
      <c r="Q13" s="132"/>
      <c r="R13" s="133"/>
    </row>
    <row r="14" spans="1:18" ht="45" x14ac:dyDescent="0.25">
      <c r="A14" s="209">
        <v>7</v>
      </c>
      <c r="B14" s="81">
        <v>2016</v>
      </c>
      <c r="C14" s="82" t="s">
        <v>152</v>
      </c>
      <c r="D14" s="83">
        <f>E14+G14+I14+J14</f>
        <v>518123.95</v>
      </c>
      <c r="E14" s="84">
        <v>259061.98</v>
      </c>
      <c r="F14" s="114">
        <f>E14/D14</f>
        <v>0.5</v>
      </c>
      <c r="G14" s="86">
        <v>259061.97</v>
      </c>
      <c r="H14" s="141">
        <f>G14/D14</f>
        <v>0.5</v>
      </c>
      <c r="I14" s="84">
        <v>0</v>
      </c>
      <c r="J14" s="84">
        <v>0</v>
      </c>
      <c r="K14" s="114">
        <f t="shared" si="4"/>
        <v>0</v>
      </c>
      <c r="L14" s="77" t="s">
        <v>14</v>
      </c>
    </row>
    <row r="15" spans="1:18" ht="56.25" x14ac:dyDescent="0.25">
      <c r="A15" s="209">
        <v>8</v>
      </c>
      <c r="B15" s="5">
        <v>2016</v>
      </c>
      <c r="C15" s="82" t="s">
        <v>153</v>
      </c>
      <c r="D15" s="139">
        <f>E15+G15+I15+J15</f>
        <v>41549.4</v>
      </c>
      <c r="E15" s="113">
        <v>20774.7</v>
      </c>
      <c r="F15" s="114">
        <f>E15/D15</f>
        <v>0.5</v>
      </c>
      <c r="G15" s="113">
        <v>20774.7</v>
      </c>
      <c r="H15" s="114">
        <f>G15/D15</f>
        <v>0.5</v>
      </c>
      <c r="I15" s="113">
        <v>0</v>
      </c>
      <c r="J15" s="113">
        <v>0</v>
      </c>
      <c r="K15" s="114">
        <f t="shared" si="4"/>
        <v>0</v>
      </c>
      <c r="L15" s="77" t="s">
        <v>14</v>
      </c>
    </row>
    <row r="16" spans="1:18" ht="33.75" x14ac:dyDescent="0.25">
      <c r="A16" s="209">
        <v>9</v>
      </c>
      <c r="B16" s="5">
        <v>2016</v>
      </c>
      <c r="C16" s="82" t="s">
        <v>154</v>
      </c>
      <c r="D16" s="139">
        <f>E16+G16+I16+J16</f>
        <v>21221.81</v>
      </c>
      <c r="E16" s="113">
        <v>10610.91</v>
      </c>
      <c r="F16" s="114">
        <f>E16/D16</f>
        <v>0.5</v>
      </c>
      <c r="G16" s="113">
        <v>10610.9</v>
      </c>
      <c r="H16" s="114">
        <f>G16/D16</f>
        <v>0.5</v>
      </c>
      <c r="I16" s="113">
        <v>0</v>
      </c>
      <c r="J16" s="113">
        <v>0</v>
      </c>
      <c r="K16" s="114">
        <f t="shared" si="4"/>
        <v>0</v>
      </c>
      <c r="L16" s="77" t="s">
        <v>14</v>
      </c>
    </row>
    <row r="17" spans="1:16" ht="33.75" x14ac:dyDescent="0.25">
      <c r="A17" s="209">
        <v>10</v>
      </c>
      <c r="B17" s="81">
        <v>2017</v>
      </c>
      <c r="C17" s="82" t="s">
        <v>155</v>
      </c>
      <c r="D17" s="83">
        <f>E17+G17+I17+J17</f>
        <v>3625296.8</v>
      </c>
      <c r="E17" s="84">
        <v>672249.9</v>
      </c>
      <c r="F17" s="114">
        <f>E17/D17</f>
        <v>0.19</v>
      </c>
      <c r="G17" s="84">
        <v>672249.9</v>
      </c>
      <c r="H17" s="114">
        <f>G17/D17</f>
        <v>0.19</v>
      </c>
      <c r="I17" s="84">
        <v>0</v>
      </c>
      <c r="J17" s="113">
        <v>2280797</v>
      </c>
      <c r="K17" s="114">
        <f t="shared" si="4"/>
        <v>0.63</v>
      </c>
      <c r="L17" s="235" t="s">
        <v>14</v>
      </c>
    </row>
    <row r="18" spans="1:16" ht="33.75" x14ac:dyDescent="0.25">
      <c r="A18" s="209">
        <v>11</v>
      </c>
      <c r="B18" s="81">
        <v>2017</v>
      </c>
      <c r="C18" s="158" t="s">
        <v>156</v>
      </c>
      <c r="D18" s="83">
        <f t="shared" ref="D18" si="5">E18+G18+I18+J18</f>
        <v>75183.48</v>
      </c>
      <c r="E18" s="84">
        <v>37591.74</v>
      </c>
      <c r="F18" s="114">
        <f t="shared" ref="F18" si="6">E18/D18</f>
        <v>0.5</v>
      </c>
      <c r="G18" s="86">
        <v>37591.74</v>
      </c>
      <c r="H18" s="114">
        <f t="shared" ref="H18" si="7">G18/D18</f>
        <v>0.5</v>
      </c>
      <c r="I18" s="84">
        <v>0</v>
      </c>
      <c r="J18" s="86">
        <v>0</v>
      </c>
      <c r="K18" s="114">
        <f t="shared" si="4"/>
        <v>0</v>
      </c>
      <c r="L18" s="81" t="s">
        <v>14</v>
      </c>
    </row>
    <row r="19" spans="1:16" ht="45" x14ac:dyDescent="0.25">
      <c r="A19" s="209">
        <v>12</v>
      </c>
      <c r="B19" s="81">
        <v>2017</v>
      </c>
      <c r="C19" s="82" t="s">
        <v>157</v>
      </c>
      <c r="D19" s="83">
        <f t="shared" ref="D19" si="8">E19+G19+I19+J19</f>
        <v>599946.55000000005</v>
      </c>
      <c r="E19" s="84">
        <v>299973.28000000003</v>
      </c>
      <c r="F19" s="114">
        <f t="shared" ref="F19" si="9">E19/D19</f>
        <v>0.5</v>
      </c>
      <c r="G19" s="86">
        <v>299973.27</v>
      </c>
      <c r="H19" s="114">
        <f t="shared" ref="H19" si="10">G19/D19</f>
        <v>0.5</v>
      </c>
      <c r="I19" s="84">
        <v>0</v>
      </c>
      <c r="J19" s="84">
        <v>0</v>
      </c>
      <c r="K19" s="114">
        <f t="shared" ref="K19" si="11">(J19+I19)/D19</f>
        <v>0</v>
      </c>
      <c r="L19" s="77" t="s">
        <v>14</v>
      </c>
    </row>
    <row r="20" spans="1:16" ht="33.75" x14ac:dyDescent="0.25">
      <c r="A20" s="209">
        <v>13</v>
      </c>
      <c r="B20" s="81">
        <v>2017</v>
      </c>
      <c r="C20" s="82" t="s">
        <v>158</v>
      </c>
      <c r="D20" s="83">
        <f>E20+G20+I20+J20</f>
        <v>119698.68</v>
      </c>
      <c r="E20" s="84">
        <v>59849.34</v>
      </c>
      <c r="F20" s="114">
        <f t="shared" ref="F20" si="12">E20/D20</f>
        <v>0.5</v>
      </c>
      <c r="G20" s="86">
        <v>59849.34</v>
      </c>
      <c r="H20" s="114">
        <f t="shared" ref="H20" si="13">G20/D20</f>
        <v>0.5</v>
      </c>
      <c r="I20" s="84">
        <v>0</v>
      </c>
      <c r="J20" s="84">
        <v>0</v>
      </c>
      <c r="K20" s="114">
        <f t="shared" ref="K20" si="14">(J20+I20)/D20</f>
        <v>0</v>
      </c>
      <c r="L20" s="77" t="s">
        <v>14</v>
      </c>
    </row>
    <row r="21" spans="1:16" ht="45" x14ac:dyDescent="0.25">
      <c r="A21" s="209">
        <v>14</v>
      </c>
      <c r="B21" s="81">
        <v>2017</v>
      </c>
      <c r="C21" s="82" t="s">
        <v>159</v>
      </c>
      <c r="D21" s="139">
        <f t="shared" ref="D21:D24" si="15">E21+G21+I21+J21</f>
        <v>16005</v>
      </c>
      <c r="E21" s="113">
        <v>8002.5</v>
      </c>
      <c r="F21" s="114">
        <f t="shared" ref="F21:F30" si="16">E21/D21</f>
        <v>0.5</v>
      </c>
      <c r="G21" s="113">
        <v>8002.5</v>
      </c>
      <c r="H21" s="114">
        <f t="shared" ref="H21:H30" si="17">G21/D21</f>
        <v>0.5</v>
      </c>
      <c r="I21" s="113">
        <v>0</v>
      </c>
      <c r="J21" s="113">
        <v>0</v>
      </c>
      <c r="K21" s="114">
        <f>(J21+I21)/D21</f>
        <v>0</v>
      </c>
      <c r="L21" s="77" t="s">
        <v>14</v>
      </c>
    </row>
    <row r="22" spans="1:16" ht="33.75" x14ac:dyDescent="0.25">
      <c r="A22" s="209">
        <v>15</v>
      </c>
      <c r="B22" s="81">
        <v>2017</v>
      </c>
      <c r="C22" s="82" t="s">
        <v>160</v>
      </c>
      <c r="D22" s="139">
        <f t="shared" si="15"/>
        <v>194490.8</v>
      </c>
      <c r="E22" s="113">
        <v>194490.8</v>
      </c>
      <c r="F22" s="114">
        <f t="shared" si="16"/>
        <v>1</v>
      </c>
      <c r="G22" s="113">
        <v>0</v>
      </c>
      <c r="H22" s="114">
        <f t="shared" si="17"/>
        <v>0</v>
      </c>
      <c r="I22" s="113">
        <v>0</v>
      </c>
      <c r="J22" s="113">
        <v>0</v>
      </c>
      <c r="K22" s="114">
        <f>(J22+I22)/D22</f>
        <v>0</v>
      </c>
      <c r="L22" s="77" t="s">
        <v>14</v>
      </c>
    </row>
    <row r="23" spans="1:16" ht="22.5" x14ac:dyDescent="0.25">
      <c r="A23" s="209">
        <v>16</v>
      </c>
      <c r="B23" s="81">
        <v>2017</v>
      </c>
      <c r="C23" s="82" t="s">
        <v>161</v>
      </c>
      <c r="D23" s="83">
        <f t="shared" si="15"/>
        <v>2473352</v>
      </c>
      <c r="E23" s="84">
        <v>458099</v>
      </c>
      <c r="F23" s="332">
        <f t="shared" si="16"/>
        <v>0.19</v>
      </c>
      <c r="G23" s="86">
        <v>458099</v>
      </c>
      <c r="H23" s="333">
        <f t="shared" si="17"/>
        <v>0.1852</v>
      </c>
      <c r="I23" s="84">
        <v>0</v>
      </c>
      <c r="J23" s="86">
        <v>1557154</v>
      </c>
      <c r="K23" s="333">
        <f>(J23+I23)/D23</f>
        <v>0.62960000000000005</v>
      </c>
      <c r="L23" s="236" t="s">
        <v>162</v>
      </c>
      <c r="M23" s="52"/>
      <c r="N23" s="52"/>
      <c r="O23" s="52"/>
      <c r="P23" s="52"/>
    </row>
    <row r="24" spans="1:16" ht="33.75" x14ac:dyDescent="0.25">
      <c r="A24" s="209">
        <v>17</v>
      </c>
      <c r="B24" s="81">
        <v>2018</v>
      </c>
      <c r="C24" s="82" t="s">
        <v>163</v>
      </c>
      <c r="D24" s="139">
        <f t="shared" si="15"/>
        <v>3449260.58</v>
      </c>
      <c r="E24" s="113">
        <v>1724630.29</v>
      </c>
      <c r="F24" s="114">
        <f t="shared" si="16"/>
        <v>0.5</v>
      </c>
      <c r="G24" s="113">
        <v>1724630.29</v>
      </c>
      <c r="H24" s="114">
        <f t="shared" si="17"/>
        <v>0.5</v>
      </c>
      <c r="I24" s="113">
        <v>0</v>
      </c>
      <c r="J24" s="113">
        <v>0</v>
      </c>
      <c r="K24" s="114">
        <f>(J24+I24)/D24</f>
        <v>0</v>
      </c>
      <c r="L24" s="77" t="s">
        <v>14</v>
      </c>
    </row>
    <row r="25" spans="1:16" ht="22.5" x14ac:dyDescent="0.25">
      <c r="A25" s="209">
        <v>18</v>
      </c>
      <c r="B25" s="81">
        <v>2020</v>
      </c>
      <c r="C25" s="82" t="s">
        <v>397</v>
      </c>
      <c r="D25" s="139">
        <f>E25+G25+I25+J25</f>
        <v>1887209.01</v>
      </c>
      <c r="E25" s="113">
        <v>493648.8</v>
      </c>
      <c r="F25" s="114">
        <f t="shared" si="16"/>
        <v>0.26</v>
      </c>
      <c r="G25" s="113">
        <v>493648.79</v>
      </c>
      <c r="H25" s="114">
        <f t="shared" si="17"/>
        <v>0.26</v>
      </c>
      <c r="I25" s="113">
        <v>899911.42</v>
      </c>
      <c r="J25" s="113">
        <v>0</v>
      </c>
      <c r="K25" s="114">
        <f>(I25+J25)/D25</f>
        <v>0.48</v>
      </c>
      <c r="L25" s="77" t="s">
        <v>14</v>
      </c>
    </row>
    <row r="26" spans="1:16" ht="33.75" x14ac:dyDescent="0.25">
      <c r="A26" s="209">
        <v>19</v>
      </c>
      <c r="B26" s="81">
        <v>2020</v>
      </c>
      <c r="C26" s="82" t="s">
        <v>398</v>
      </c>
      <c r="D26" s="83">
        <f>E26+G26+I26+J26</f>
        <v>26998.5</v>
      </c>
      <c r="E26" s="84">
        <v>13499.25</v>
      </c>
      <c r="F26" s="114">
        <f t="shared" si="16"/>
        <v>0.5</v>
      </c>
      <c r="G26" s="86">
        <v>13499.25</v>
      </c>
      <c r="H26" s="141">
        <f t="shared" si="17"/>
        <v>0.5</v>
      </c>
      <c r="I26" s="84">
        <v>0</v>
      </c>
      <c r="J26" s="84">
        <v>0</v>
      </c>
      <c r="K26" s="114">
        <f>(J26+I26)/D26</f>
        <v>0</v>
      </c>
      <c r="L26" s="235" t="s">
        <v>14</v>
      </c>
    </row>
    <row r="27" spans="1:16" ht="33.75" x14ac:dyDescent="0.25">
      <c r="A27" s="209">
        <v>20</v>
      </c>
      <c r="B27" s="81" t="s">
        <v>464</v>
      </c>
      <c r="C27" s="158" t="s">
        <v>399</v>
      </c>
      <c r="D27" s="83">
        <f>E27+G27+I27+J27</f>
        <v>68603.240000000005</v>
      </c>
      <c r="E27" s="84">
        <v>34301.620000000003</v>
      </c>
      <c r="F27" s="114">
        <f t="shared" si="16"/>
        <v>0.5</v>
      </c>
      <c r="G27" s="86">
        <v>34301.620000000003</v>
      </c>
      <c r="H27" s="141">
        <f t="shared" si="17"/>
        <v>0.5</v>
      </c>
      <c r="I27" s="84"/>
      <c r="J27" s="84">
        <v>0</v>
      </c>
      <c r="K27" s="114">
        <f t="shared" ref="K27" si="18">(J27+I27)/D27</f>
        <v>0</v>
      </c>
      <c r="L27" s="77" t="s">
        <v>14</v>
      </c>
    </row>
    <row r="28" spans="1:16" ht="33.75" x14ac:dyDescent="0.25">
      <c r="A28" s="209">
        <v>21</v>
      </c>
      <c r="B28" s="81" t="s">
        <v>461</v>
      </c>
      <c r="C28" s="82" t="s">
        <v>400</v>
      </c>
      <c r="D28" s="83">
        <f t="shared" ref="D28" si="19">E28+G28+I28+J28</f>
        <v>957058.34</v>
      </c>
      <c r="E28" s="84">
        <v>239632.09</v>
      </c>
      <c r="F28" s="114">
        <f t="shared" si="16"/>
        <v>0.25</v>
      </c>
      <c r="G28" s="84">
        <v>239632.08</v>
      </c>
      <c r="H28" s="114">
        <f t="shared" si="17"/>
        <v>0.25</v>
      </c>
      <c r="I28" s="84">
        <v>477794.17</v>
      </c>
      <c r="J28" s="86">
        <v>0</v>
      </c>
      <c r="K28" s="114">
        <f t="shared" ref="K28" si="20">(J28+I28)/D28</f>
        <v>0.5</v>
      </c>
      <c r="L28" s="235" t="s">
        <v>14</v>
      </c>
    </row>
    <row r="29" spans="1:16" ht="45" x14ac:dyDescent="0.25">
      <c r="A29" s="209">
        <v>22</v>
      </c>
      <c r="B29" s="81" t="s">
        <v>465</v>
      </c>
      <c r="C29" s="158" t="s">
        <v>401</v>
      </c>
      <c r="D29" s="83">
        <f t="shared" ref="D29:D30" si="21">E29+G29+I29+J29</f>
        <v>216603</v>
      </c>
      <c r="E29" s="86">
        <f>56703+51598.5</f>
        <v>108301.5</v>
      </c>
      <c r="F29" s="114">
        <f t="shared" si="16"/>
        <v>0.5</v>
      </c>
      <c r="G29" s="86">
        <f>56703+51598.5</f>
        <v>108301.5</v>
      </c>
      <c r="H29" s="141">
        <f t="shared" si="17"/>
        <v>0.5</v>
      </c>
      <c r="I29" s="84">
        <v>0</v>
      </c>
      <c r="J29" s="84">
        <v>0</v>
      </c>
      <c r="K29" s="114">
        <f t="shared" ref="K29" si="22">(J29+I29)/D29</f>
        <v>0</v>
      </c>
      <c r="L29" s="77" t="s">
        <v>14</v>
      </c>
    </row>
    <row r="30" spans="1:16" ht="33.75" x14ac:dyDescent="0.25">
      <c r="A30" s="209">
        <v>23</v>
      </c>
      <c r="B30" s="81" t="s">
        <v>515</v>
      </c>
      <c r="C30" s="158" t="s">
        <v>402</v>
      </c>
      <c r="D30" s="83">
        <f t="shared" si="21"/>
        <v>3549296.01</v>
      </c>
      <c r="E30" s="84">
        <v>907234.57</v>
      </c>
      <c r="F30" s="114">
        <f t="shared" si="16"/>
        <v>0.26</v>
      </c>
      <c r="G30" s="86">
        <f>305072.9+602161.67</f>
        <v>907234.57</v>
      </c>
      <c r="H30" s="141">
        <f t="shared" si="17"/>
        <v>0.26</v>
      </c>
      <c r="I30" s="84">
        <v>1734826.87</v>
      </c>
      <c r="J30" s="84">
        <v>0</v>
      </c>
      <c r="K30" s="114">
        <f t="shared" ref="K30" si="23">(J30+I30)/D30</f>
        <v>0.49</v>
      </c>
      <c r="L30" s="77" t="s">
        <v>14</v>
      </c>
    </row>
    <row r="31" spans="1:16" ht="56.25" x14ac:dyDescent="0.25">
      <c r="A31" s="209">
        <v>24</v>
      </c>
      <c r="B31" s="81" t="s">
        <v>515</v>
      </c>
      <c r="C31" s="82" t="s">
        <v>403</v>
      </c>
      <c r="D31" s="139">
        <f>E31+G31+I31+J31</f>
        <v>132963</v>
      </c>
      <c r="E31" s="113">
        <v>66481.5</v>
      </c>
      <c r="F31" s="114">
        <f t="shared" ref="F31" si="24">E31/D31</f>
        <v>0.5</v>
      </c>
      <c r="G31" s="113">
        <f>16605+49876.5</f>
        <v>66481.5</v>
      </c>
      <c r="H31" s="114">
        <f t="shared" ref="H31" si="25">G31/D31</f>
        <v>0.5</v>
      </c>
      <c r="I31" s="113">
        <v>0</v>
      </c>
      <c r="J31" s="113">
        <v>0</v>
      </c>
      <c r="K31" s="114">
        <f>(I31+J31)/D31</f>
        <v>0</v>
      </c>
      <c r="L31" s="77" t="s">
        <v>14</v>
      </c>
    </row>
    <row r="32" spans="1:16" ht="22.5" x14ac:dyDescent="0.25">
      <c r="A32" s="209">
        <v>25</v>
      </c>
      <c r="B32" s="81" t="s">
        <v>517</v>
      </c>
      <c r="C32" s="158" t="s">
        <v>404</v>
      </c>
      <c r="D32" s="139">
        <f t="shared" ref="D32" si="26">E32+G32+I32+J32</f>
        <v>3213937.25</v>
      </c>
      <c r="E32" s="113">
        <f>244881.87+391690.22</f>
        <v>636572.09</v>
      </c>
      <c r="F32" s="114">
        <f t="shared" ref="F32" si="27">E32/D32</f>
        <v>0.2</v>
      </c>
      <c r="G32" s="113">
        <f>479700.68+156871.4</f>
        <v>636572.07999999996</v>
      </c>
      <c r="H32" s="114">
        <f t="shared" ref="H32" si="28">G32/D32</f>
        <v>0.2</v>
      </c>
      <c r="I32" s="113">
        <v>0</v>
      </c>
      <c r="J32" s="113">
        <f>887450.18+1053342.9</f>
        <v>1940793.08</v>
      </c>
      <c r="K32" s="114">
        <f t="shared" ref="K32" si="29">(I32+J32)/D32</f>
        <v>0.6</v>
      </c>
      <c r="L32" s="77" t="s">
        <v>14</v>
      </c>
      <c r="M32" s="115"/>
    </row>
    <row r="33" spans="1:13" ht="90" x14ac:dyDescent="0.25">
      <c r="A33" s="209">
        <v>26</v>
      </c>
      <c r="B33" s="81" t="s">
        <v>516</v>
      </c>
      <c r="C33" s="82" t="s">
        <v>485</v>
      </c>
      <c r="D33" s="139">
        <f t="shared" ref="D33:D35" si="30">E33+G33+I33+J33</f>
        <v>129381.24</v>
      </c>
      <c r="E33" s="113">
        <v>20207.400000000001</v>
      </c>
      <c r="F33" s="114">
        <f t="shared" ref="F33" si="31">E33/D33</f>
        <v>0.16</v>
      </c>
      <c r="G33" s="113">
        <v>19851.240000000002</v>
      </c>
      <c r="H33" s="114">
        <f t="shared" ref="H33" si="32">G33/D33</f>
        <v>0.15</v>
      </c>
      <c r="I33" s="113">
        <v>89322.6</v>
      </c>
      <c r="J33" s="113">
        <v>0</v>
      </c>
      <c r="K33" s="114">
        <f t="shared" ref="K33" si="33">(I33+J33)/D33</f>
        <v>0.69</v>
      </c>
      <c r="L33" s="77" t="s">
        <v>14</v>
      </c>
      <c r="M33" s="115"/>
    </row>
    <row r="34" spans="1:13" ht="33.75" x14ac:dyDescent="0.25">
      <c r="A34" s="209">
        <v>27</v>
      </c>
      <c r="B34" s="81" t="s">
        <v>502</v>
      </c>
      <c r="C34" s="82" t="s">
        <v>449</v>
      </c>
      <c r="D34" s="139">
        <f t="shared" si="30"/>
        <v>2502848.9</v>
      </c>
      <c r="E34" s="113">
        <v>503709.97</v>
      </c>
      <c r="F34" s="114">
        <f t="shared" ref="F34:F36" si="34">E34/D34</f>
        <v>0.2</v>
      </c>
      <c r="G34" s="113">
        <v>503709.97</v>
      </c>
      <c r="H34" s="114">
        <f t="shared" ref="H34:H36" si="35">G34/D34</f>
        <v>0.2</v>
      </c>
      <c r="I34" s="113">
        <v>1495428.96</v>
      </c>
      <c r="J34" s="113">
        <v>0</v>
      </c>
      <c r="K34" s="114">
        <f t="shared" ref="K34:K36" si="36">(I34+J34)/D34</f>
        <v>0.6</v>
      </c>
      <c r="L34" s="77" t="s">
        <v>14</v>
      </c>
    </row>
    <row r="35" spans="1:13" ht="33.75" x14ac:dyDescent="0.25">
      <c r="A35" s="209">
        <v>28</v>
      </c>
      <c r="B35" s="81">
        <v>2025</v>
      </c>
      <c r="C35" s="82" t="s">
        <v>448</v>
      </c>
      <c r="D35" s="139">
        <f t="shared" si="30"/>
        <v>844289.37</v>
      </c>
      <c r="E35" s="113">
        <v>422144.69</v>
      </c>
      <c r="F35" s="114">
        <f t="shared" si="34"/>
        <v>0.5</v>
      </c>
      <c r="G35" s="113">
        <v>422144.68</v>
      </c>
      <c r="H35" s="114">
        <f t="shared" si="35"/>
        <v>0.5</v>
      </c>
      <c r="I35" s="113">
        <v>0</v>
      </c>
      <c r="J35" s="113">
        <v>0</v>
      </c>
      <c r="K35" s="114">
        <f t="shared" si="36"/>
        <v>0</v>
      </c>
      <c r="L35" s="77" t="s">
        <v>14</v>
      </c>
    </row>
    <row r="36" spans="1:13" x14ac:dyDescent="0.25">
      <c r="A36" s="386" t="s">
        <v>34</v>
      </c>
      <c r="B36" s="387"/>
      <c r="C36" s="388"/>
      <c r="D36" s="172">
        <f>SUM(D8:D35)</f>
        <v>29398052.16</v>
      </c>
      <c r="E36" s="172">
        <f>SUM(E8:E35)</f>
        <v>8601484.5600000005</v>
      </c>
      <c r="F36" s="167">
        <f t="shared" si="34"/>
        <v>0.28999999999999998</v>
      </c>
      <c r="G36" s="172">
        <f>SUM(G8:G35)</f>
        <v>8406637.5399999991</v>
      </c>
      <c r="H36" s="167">
        <f t="shared" si="35"/>
        <v>0.28999999999999998</v>
      </c>
      <c r="I36" s="172">
        <f>SUM(I8:I35)</f>
        <v>6611185.9800000004</v>
      </c>
      <c r="J36" s="172">
        <f>SUM(J8:J35)</f>
        <v>5778744.0800000001</v>
      </c>
      <c r="K36" s="167">
        <f t="shared" si="36"/>
        <v>0.42</v>
      </c>
      <c r="L36" s="180"/>
    </row>
  </sheetData>
  <mergeCells count="18">
    <mergeCell ref="A36:C36"/>
    <mergeCell ref="I5:I6"/>
    <mergeCell ref="J5:J6"/>
    <mergeCell ref="K5:K6"/>
    <mergeCell ref="A3:A6"/>
    <mergeCell ref="B3:B6"/>
    <mergeCell ref="C3:C6"/>
    <mergeCell ref="D3:D6"/>
    <mergeCell ref="E3:K3"/>
    <mergeCell ref="H5:H6"/>
    <mergeCell ref="G5:G6"/>
    <mergeCell ref="L3:L6"/>
    <mergeCell ref="A2:L2"/>
    <mergeCell ref="E4:F4"/>
    <mergeCell ref="G4:H4"/>
    <mergeCell ref="I4:K4"/>
    <mergeCell ref="E5:E6"/>
    <mergeCell ref="F5:F6"/>
  </mergeCells>
  <phoneticPr fontId="1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Q42"/>
  <sheetViews>
    <sheetView tabSelected="1" topLeftCell="A6" zoomScaleNormal="100" workbookViewId="0">
      <selection activeCell="L12" sqref="L12"/>
    </sheetView>
  </sheetViews>
  <sheetFormatPr defaultRowHeight="15" x14ac:dyDescent="0.25"/>
  <cols>
    <col min="1" max="1" width="9.140625" style="232"/>
    <col min="2" max="2" width="17.7109375" style="50" customWidth="1"/>
    <col min="3" max="3" width="39.85546875" customWidth="1"/>
    <col min="4" max="4" width="16.140625" style="54" customWidth="1"/>
    <col min="5" max="5" width="14.5703125" style="54" bestFit="1" customWidth="1"/>
    <col min="6" max="6" width="13.7109375" customWidth="1"/>
    <col min="7" max="7" width="14.5703125" style="54" bestFit="1" customWidth="1"/>
    <col min="8" max="8" width="15.5703125" customWidth="1"/>
    <col min="9" max="9" width="15.5703125" style="54" customWidth="1"/>
    <col min="10" max="10" width="14.5703125" style="54" bestFit="1" customWidth="1"/>
    <col min="11" max="11" width="14.5703125" customWidth="1"/>
    <col min="12" max="12" width="18.5703125" style="50" customWidth="1"/>
    <col min="13" max="13" width="15.5703125" bestFit="1" customWidth="1"/>
    <col min="17" max="17" width="13.42578125" bestFit="1" customWidth="1"/>
  </cols>
  <sheetData>
    <row r="2" spans="1:16" ht="57" customHeight="1" x14ac:dyDescent="0.25">
      <c r="A2" s="338" t="s">
        <v>493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16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16" ht="30.75" customHeight="1" x14ac:dyDescent="0.25">
      <c r="A4" s="341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16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16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16" x14ac:dyDescent="0.25">
      <c r="A7" s="185">
        <v>1</v>
      </c>
      <c r="B7" s="1">
        <v>2</v>
      </c>
      <c r="C7" s="2">
        <v>3</v>
      </c>
      <c r="D7" s="58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16" ht="25.5" customHeight="1" x14ac:dyDescent="0.25">
      <c r="A8" s="215">
        <v>1</v>
      </c>
      <c r="B8" s="97">
        <v>2015</v>
      </c>
      <c r="C8" s="92" t="s">
        <v>164</v>
      </c>
      <c r="D8" s="106">
        <f>E8+G8+I8+J8</f>
        <v>275259.92</v>
      </c>
      <c r="E8" s="93">
        <v>137629.96</v>
      </c>
      <c r="F8" s="107">
        <f>E8/D8</f>
        <v>0.5</v>
      </c>
      <c r="G8" s="94">
        <v>137629.96</v>
      </c>
      <c r="H8" s="112">
        <f>G8/D8</f>
        <v>0.5</v>
      </c>
      <c r="I8" s="93">
        <v>0</v>
      </c>
      <c r="J8" s="93">
        <v>0</v>
      </c>
      <c r="K8" s="88">
        <f>(J8+I8)/D8</f>
        <v>0</v>
      </c>
      <c r="L8" s="235" t="s">
        <v>14</v>
      </c>
    </row>
    <row r="9" spans="1:16" ht="33.75" x14ac:dyDescent="0.25">
      <c r="A9" s="215">
        <v>2</v>
      </c>
      <c r="B9" s="119">
        <v>2015</v>
      </c>
      <c r="C9" s="28" t="s">
        <v>165</v>
      </c>
      <c r="D9" s="106">
        <f t="shared" ref="D9" si="0">E9+G9+I9+J9</f>
        <v>1705238</v>
      </c>
      <c r="E9" s="93">
        <v>452500</v>
      </c>
      <c r="F9" s="107">
        <f t="shared" ref="F9" si="1">E9/D9</f>
        <v>0.27</v>
      </c>
      <c r="G9" s="94">
        <v>452500</v>
      </c>
      <c r="H9" s="112">
        <f t="shared" ref="H9" si="2">G9/D9</f>
        <v>0.27</v>
      </c>
      <c r="I9" s="93">
        <v>800238</v>
      </c>
      <c r="J9" s="93">
        <v>0</v>
      </c>
      <c r="K9" s="88">
        <f t="shared" ref="K9" si="3">(J9+I9)/D9</f>
        <v>0.47</v>
      </c>
      <c r="L9" s="77" t="s">
        <v>166</v>
      </c>
      <c r="M9" s="52"/>
      <c r="O9" s="52"/>
      <c r="P9" s="52"/>
    </row>
    <row r="10" spans="1:16" ht="23.25" customHeight="1" x14ac:dyDescent="0.25">
      <c r="A10" s="215">
        <v>3</v>
      </c>
      <c r="B10" s="97">
        <v>2016</v>
      </c>
      <c r="C10" s="92" t="s">
        <v>167</v>
      </c>
      <c r="D10" s="106">
        <f t="shared" ref="D10" si="4">E10+G10+I10+J10</f>
        <v>2013554.37</v>
      </c>
      <c r="E10" s="93">
        <v>591444.04</v>
      </c>
      <c r="F10" s="107">
        <f t="shared" ref="F10" si="5">E10/D10</f>
        <v>0.28999999999999998</v>
      </c>
      <c r="G10" s="94">
        <v>568708</v>
      </c>
      <c r="H10" s="112">
        <f t="shared" ref="H10" si="6">G10/D10</f>
        <v>0.28000000000000003</v>
      </c>
      <c r="I10" s="93">
        <v>853402.33</v>
      </c>
      <c r="J10" s="94">
        <v>0</v>
      </c>
      <c r="K10" s="88">
        <f t="shared" ref="K10" si="7">(J10+I10)/D10</f>
        <v>0.42</v>
      </c>
      <c r="L10" s="236" t="s">
        <v>14</v>
      </c>
    </row>
    <row r="11" spans="1:16" ht="33.75" x14ac:dyDescent="0.25">
      <c r="A11" s="286">
        <v>4</v>
      </c>
      <c r="B11" s="97">
        <v>2016</v>
      </c>
      <c r="C11" s="92" t="s">
        <v>168</v>
      </c>
      <c r="D11" s="106">
        <f t="shared" ref="D11" si="8">E11+G11+I11+J11</f>
        <v>96373.67</v>
      </c>
      <c r="E11" s="94">
        <v>48186.84</v>
      </c>
      <c r="F11" s="107">
        <f t="shared" ref="F11" si="9">E11/D11</f>
        <v>0.5</v>
      </c>
      <c r="G11" s="94">
        <v>48186.83</v>
      </c>
      <c r="H11" s="112">
        <f t="shared" ref="H11" si="10">G11/D11</f>
        <v>0.5</v>
      </c>
      <c r="I11" s="94">
        <v>0</v>
      </c>
      <c r="J11" s="94">
        <v>0</v>
      </c>
      <c r="K11" s="88">
        <f t="shared" ref="K11" si="11">(J11+I11)/D11</f>
        <v>0</v>
      </c>
      <c r="L11" s="236" t="s">
        <v>14</v>
      </c>
    </row>
    <row r="12" spans="1:16" ht="33.75" x14ac:dyDescent="0.25">
      <c r="A12" s="215">
        <v>5</v>
      </c>
      <c r="B12" s="97">
        <v>2016</v>
      </c>
      <c r="C12" s="92" t="s">
        <v>169</v>
      </c>
      <c r="D12" s="106">
        <f t="shared" ref="D12" si="12">E12+G12+I12+J12</f>
        <v>461865.02</v>
      </c>
      <c r="E12" s="93">
        <v>230932.51</v>
      </c>
      <c r="F12" s="107">
        <f t="shared" ref="F12:F13" si="13">E12/D12</f>
        <v>0.5</v>
      </c>
      <c r="G12" s="94">
        <v>230932.51</v>
      </c>
      <c r="H12" s="112">
        <f t="shared" ref="H12:H13" si="14">G12/D12</f>
        <v>0.5</v>
      </c>
      <c r="I12" s="93">
        <v>0</v>
      </c>
      <c r="J12" s="93">
        <v>0</v>
      </c>
      <c r="K12" s="88">
        <f t="shared" ref="K12:K13" si="15">(J12+I12)/D12</f>
        <v>0</v>
      </c>
      <c r="L12" s="77" t="s">
        <v>14</v>
      </c>
    </row>
    <row r="13" spans="1:16" ht="33.75" x14ac:dyDescent="0.25">
      <c r="A13" s="215"/>
      <c r="B13" s="97">
        <v>2016</v>
      </c>
      <c r="C13" s="92" t="s">
        <v>496</v>
      </c>
      <c r="D13" s="106">
        <v>18929.7</v>
      </c>
      <c r="E13" s="93">
        <v>18929.7</v>
      </c>
      <c r="F13" s="107">
        <f t="shared" si="13"/>
        <v>1</v>
      </c>
      <c r="G13" s="94">
        <v>0</v>
      </c>
      <c r="H13" s="112">
        <f t="shared" si="14"/>
        <v>0</v>
      </c>
      <c r="I13" s="93">
        <v>0</v>
      </c>
      <c r="J13" s="94">
        <v>0</v>
      </c>
      <c r="K13" s="88">
        <f t="shared" si="15"/>
        <v>0</v>
      </c>
      <c r="L13" s="77" t="s">
        <v>14</v>
      </c>
    </row>
    <row r="14" spans="1:16" ht="22.5" x14ac:dyDescent="0.25">
      <c r="A14" s="215">
        <v>6</v>
      </c>
      <c r="B14" s="97">
        <v>2016</v>
      </c>
      <c r="C14" s="92" t="s">
        <v>170</v>
      </c>
      <c r="D14" s="106">
        <f t="shared" ref="D14" si="16">E14+G14+I14+J14</f>
        <v>726642.11</v>
      </c>
      <c r="E14" s="93">
        <v>203098.06</v>
      </c>
      <c r="F14" s="107">
        <f t="shared" ref="F14" si="17">E14/D14</f>
        <v>0.28000000000000003</v>
      </c>
      <c r="G14" s="94">
        <v>203098.05</v>
      </c>
      <c r="H14" s="112">
        <f t="shared" ref="H14" si="18">G14/D14</f>
        <v>0.28000000000000003</v>
      </c>
      <c r="I14" s="93">
        <v>0</v>
      </c>
      <c r="J14" s="179">
        <v>320446</v>
      </c>
      <c r="K14" s="88">
        <f t="shared" ref="K14" si="19">(J14+I14)/D14</f>
        <v>0.44</v>
      </c>
      <c r="L14" s="236" t="s">
        <v>14</v>
      </c>
      <c r="N14" s="242"/>
    </row>
    <row r="15" spans="1:16" ht="33.75" x14ac:dyDescent="0.25">
      <c r="A15" s="215">
        <v>7</v>
      </c>
      <c r="B15" s="119" t="s">
        <v>456</v>
      </c>
      <c r="C15" s="28" t="s">
        <v>171</v>
      </c>
      <c r="D15" s="106">
        <f t="shared" ref="D15" si="20">E15+G15+I15+J15</f>
        <v>55946.11</v>
      </c>
      <c r="E15" s="93">
        <f>27973.06</f>
        <v>27973.06</v>
      </c>
      <c r="F15" s="34">
        <f t="shared" ref="F15" si="21">E15/D15</f>
        <v>0.5</v>
      </c>
      <c r="G15" s="94">
        <v>27973.05</v>
      </c>
      <c r="H15" s="32">
        <f t="shared" ref="H15" si="22">G15/D15</f>
        <v>0.5</v>
      </c>
      <c r="I15" s="59">
        <v>0</v>
      </c>
      <c r="J15" s="59">
        <v>0</v>
      </c>
      <c r="K15" s="88">
        <f>(J15+I15)/D15</f>
        <v>0</v>
      </c>
      <c r="L15" s="11" t="s">
        <v>14</v>
      </c>
    </row>
    <row r="16" spans="1:16" ht="22.5" x14ac:dyDescent="0.25">
      <c r="A16" s="215">
        <v>8</v>
      </c>
      <c r="B16" s="97">
        <v>2017</v>
      </c>
      <c r="C16" s="92" t="s">
        <v>172</v>
      </c>
      <c r="D16" s="106">
        <f t="shared" ref="D16" si="23">E16+G16+I16+J16</f>
        <v>1255771.44</v>
      </c>
      <c r="E16" s="93">
        <v>627885.72</v>
      </c>
      <c r="F16" s="107">
        <f t="shared" ref="F16" si="24">E16/D16</f>
        <v>0.5</v>
      </c>
      <c r="G16" s="94">
        <v>627885.72</v>
      </c>
      <c r="H16" s="112">
        <f t="shared" ref="H16" si="25">G16/D16</f>
        <v>0.5</v>
      </c>
      <c r="I16" s="93">
        <v>0</v>
      </c>
      <c r="J16" s="93">
        <v>0</v>
      </c>
      <c r="K16" s="88">
        <f t="shared" ref="K16" si="26">(J16+I16)/D16</f>
        <v>0</v>
      </c>
      <c r="L16" s="77" t="s">
        <v>14</v>
      </c>
    </row>
    <row r="17" spans="1:17" ht="22.5" x14ac:dyDescent="0.25">
      <c r="A17" s="215">
        <v>9</v>
      </c>
      <c r="B17" s="97">
        <v>2017</v>
      </c>
      <c r="C17" s="92" t="s">
        <v>173</v>
      </c>
      <c r="D17" s="106">
        <f t="shared" ref="D17" si="27">E17+G17+I17+J17</f>
        <v>88720.7</v>
      </c>
      <c r="E17" s="93">
        <v>44360.35</v>
      </c>
      <c r="F17" s="107">
        <f t="shared" ref="F17" si="28">E17/D17</f>
        <v>0.5</v>
      </c>
      <c r="G17" s="94">
        <v>44360.35</v>
      </c>
      <c r="H17" s="112">
        <f t="shared" ref="H17" si="29">G17/D17</f>
        <v>0.5</v>
      </c>
      <c r="I17" s="93">
        <v>0</v>
      </c>
      <c r="J17" s="93">
        <v>0</v>
      </c>
      <c r="K17" s="88">
        <f t="shared" ref="K17" si="30">(J17+I17)/D17</f>
        <v>0</v>
      </c>
      <c r="L17" s="77" t="s">
        <v>14</v>
      </c>
    </row>
    <row r="18" spans="1:17" ht="22.5" x14ac:dyDescent="0.25">
      <c r="A18" s="215">
        <v>10</v>
      </c>
      <c r="B18" s="97">
        <v>2017</v>
      </c>
      <c r="C18" s="92" t="s">
        <v>174</v>
      </c>
      <c r="D18" s="106">
        <f t="shared" ref="D18" si="31">E18+G18+I18+J18</f>
        <v>23862</v>
      </c>
      <c r="E18" s="93">
        <v>11931</v>
      </c>
      <c r="F18" s="107">
        <f t="shared" ref="F18" si="32">E18/D18</f>
        <v>0.5</v>
      </c>
      <c r="G18" s="94">
        <v>11931</v>
      </c>
      <c r="H18" s="112">
        <f t="shared" ref="H18" si="33">G18/D18</f>
        <v>0.5</v>
      </c>
      <c r="I18" s="93">
        <v>0</v>
      </c>
      <c r="J18" s="93">
        <v>0</v>
      </c>
      <c r="K18" s="88">
        <f t="shared" ref="K18" si="34">(J18+I18)/D18</f>
        <v>0</v>
      </c>
      <c r="L18" s="235" t="s">
        <v>14</v>
      </c>
    </row>
    <row r="19" spans="1:17" ht="22.5" x14ac:dyDescent="0.25">
      <c r="A19" s="215">
        <v>11</v>
      </c>
      <c r="B19" s="97">
        <v>2018</v>
      </c>
      <c r="C19" s="92" t="s">
        <v>175</v>
      </c>
      <c r="D19" s="106">
        <f t="shared" ref="D19" si="35">E19+G19+I19+J19</f>
        <v>2239434.98</v>
      </c>
      <c r="E19" s="93">
        <v>1119717.49</v>
      </c>
      <c r="F19" s="107">
        <f t="shared" ref="F19" si="36">E19/D19</f>
        <v>0.5</v>
      </c>
      <c r="G19" s="94">
        <v>1119717.49</v>
      </c>
      <c r="H19" s="112">
        <f t="shared" ref="H19" si="37">G19/D19</f>
        <v>0.5</v>
      </c>
      <c r="I19" s="93">
        <v>0</v>
      </c>
      <c r="J19" s="93">
        <v>0</v>
      </c>
      <c r="K19" s="88">
        <f t="shared" ref="K19" si="38">(J19+I19)/D19</f>
        <v>0</v>
      </c>
      <c r="L19" s="235" t="s">
        <v>14</v>
      </c>
    </row>
    <row r="20" spans="1:17" ht="22.5" x14ac:dyDescent="0.25">
      <c r="A20" s="215">
        <v>12</v>
      </c>
      <c r="B20" s="97">
        <v>2018</v>
      </c>
      <c r="C20" s="92" t="s">
        <v>176</v>
      </c>
      <c r="D20" s="106">
        <f t="shared" ref="D20" si="39">E20+G20+I20+J20</f>
        <v>99885.84</v>
      </c>
      <c r="E20" s="93">
        <v>49942.92</v>
      </c>
      <c r="F20" s="107">
        <f t="shared" ref="F20" si="40">E20/D20</f>
        <v>0.5</v>
      </c>
      <c r="G20" s="94">
        <v>49942.92</v>
      </c>
      <c r="H20" s="112">
        <f t="shared" ref="H20" si="41">G20/D20</f>
        <v>0.5</v>
      </c>
      <c r="I20" s="93">
        <v>0</v>
      </c>
      <c r="J20" s="93">
        <v>0</v>
      </c>
      <c r="K20" s="88">
        <f>(J20+I20)/D20</f>
        <v>0</v>
      </c>
      <c r="L20" s="235" t="s">
        <v>14</v>
      </c>
    </row>
    <row r="21" spans="1:17" ht="22.5" x14ac:dyDescent="0.25">
      <c r="A21" s="215">
        <v>7</v>
      </c>
      <c r="B21" s="97">
        <v>2018</v>
      </c>
      <c r="C21" s="92" t="s">
        <v>334</v>
      </c>
      <c r="D21" s="106">
        <f t="shared" ref="D21" si="42">E21+G21+I21+J21</f>
        <v>986190.08</v>
      </c>
      <c r="E21" s="93">
        <v>493095.04</v>
      </c>
      <c r="F21" s="107">
        <f t="shared" ref="F21" si="43">E21/D21</f>
        <v>0.5</v>
      </c>
      <c r="G21" s="94">
        <v>493095.04</v>
      </c>
      <c r="H21" s="112">
        <f t="shared" ref="H21" si="44">G21/D21</f>
        <v>0.5</v>
      </c>
      <c r="I21" s="93">
        <v>0</v>
      </c>
      <c r="J21" s="93">
        <v>0</v>
      </c>
      <c r="K21" s="88">
        <f t="shared" ref="K21" si="45">(J21+I21)/D21</f>
        <v>0</v>
      </c>
      <c r="L21" s="77" t="s">
        <v>14</v>
      </c>
    </row>
    <row r="22" spans="1:17" ht="22.5" x14ac:dyDescent="0.25">
      <c r="A22" s="215">
        <v>1</v>
      </c>
      <c r="B22" s="97">
        <v>2019</v>
      </c>
      <c r="C22" s="92" t="s">
        <v>376</v>
      </c>
      <c r="D22" s="106">
        <f t="shared" ref="D22:D28" si="46">E22+G22+I22+J22</f>
        <v>2682840.85</v>
      </c>
      <c r="E22" s="93">
        <v>764149.35</v>
      </c>
      <c r="F22" s="107">
        <f t="shared" ref="F22:F40" si="47">E22/D22</f>
        <v>0.28000000000000003</v>
      </c>
      <c r="G22" s="94">
        <v>764149.34</v>
      </c>
      <c r="H22" s="112">
        <f t="shared" ref="H22:H40" si="48">G22/D22</f>
        <v>0.28000000000000003</v>
      </c>
      <c r="I22" s="93">
        <v>1154542.1599999999</v>
      </c>
      <c r="J22" s="93">
        <v>0</v>
      </c>
      <c r="K22" s="88">
        <f t="shared" ref="K22" si="49">(J22+I22)/D22</f>
        <v>0.43</v>
      </c>
      <c r="L22" s="235" t="s">
        <v>14</v>
      </c>
    </row>
    <row r="23" spans="1:17" ht="33.75" x14ac:dyDescent="0.25">
      <c r="A23" s="215">
        <v>2</v>
      </c>
      <c r="B23" s="97">
        <v>2019</v>
      </c>
      <c r="C23" s="92" t="s">
        <v>377</v>
      </c>
      <c r="D23" s="106">
        <f t="shared" si="46"/>
        <v>68687.509999999995</v>
      </c>
      <c r="E23" s="93">
        <v>34343.760000000002</v>
      </c>
      <c r="F23" s="107">
        <f t="shared" si="47"/>
        <v>0.5</v>
      </c>
      <c r="G23" s="94">
        <v>34343.75</v>
      </c>
      <c r="H23" s="112">
        <f t="shared" si="48"/>
        <v>0.5</v>
      </c>
      <c r="I23" s="93">
        <v>0</v>
      </c>
      <c r="J23" s="93">
        <v>0</v>
      </c>
      <c r="K23" s="88">
        <f t="shared" ref="K23" si="50">(J23+I23)/D23</f>
        <v>0</v>
      </c>
      <c r="L23" s="77" t="s">
        <v>14</v>
      </c>
    </row>
    <row r="24" spans="1:17" ht="45" x14ac:dyDescent="0.25">
      <c r="A24" s="215">
        <v>3</v>
      </c>
      <c r="B24" s="97" t="s">
        <v>210</v>
      </c>
      <c r="C24" s="92" t="s">
        <v>378</v>
      </c>
      <c r="D24" s="106">
        <f t="shared" si="46"/>
        <v>97170</v>
      </c>
      <c r="E24" s="93">
        <f>30135+18450</f>
        <v>48585</v>
      </c>
      <c r="F24" s="107">
        <f t="shared" si="47"/>
        <v>0.5</v>
      </c>
      <c r="G24" s="94">
        <f>48585</f>
        <v>48585</v>
      </c>
      <c r="H24" s="112">
        <f t="shared" si="48"/>
        <v>0.5</v>
      </c>
      <c r="I24" s="93">
        <v>0</v>
      </c>
      <c r="J24" s="94">
        <v>0</v>
      </c>
      <c r="K24" s="88">
        <f>(J24+I24)/D24</f>
        <v>0</v>
      </c>
      <c r="L24" s="236" t="s">
        <v>14</v>
      </c>
      <c r="Q24" s="115"/>
    </row>
    <row r="25" spans="1:17" ht="45" x14ac:dyDescent="0.25">
      <c r="A25" s="286">
        <v>4</v>
      </c>
      <c r="B25" s="97" t="s">
        <v>213</v>
      </c>
      <c r="C25" s="145" t="s">
        <v>379</v>
      </c>
      <c r="D25" s="106">
        <f t="shared" si="46"/>
        <v>112545</v>
      </c>
      <c r="E25" s="94">
        <v>56272.5</v>
      </c>
      <c r="F25" s="112">
        <f t="shared" si="47"/>
        <v>0.5</v>
      </c>
      <c r="G25" s="94">
        <f>23985+32287.5</f>
        <v>56272.5</v>
      </c>
      <c r="H25" s="112">
        <f t="shared" si="48"/>
        <v>0.5</v>
      </c>
      <c r="I25" s="94">
        <v>0</v>
      </c>
      <c r="J25" s="94">
        <v>0</v>
      </c>
      <c r="K25" s="88">
        <f t="shared" ref="K25" si="51">(J25+I25)/D25</f>
        <v>0</v>
      </c>
      <c r="L25" s="236" t="s">
        <v>14</v>
      </c>
    </row>
    <row r="26" spans="1:17" ht="45" x14ac:dyDescent="0.25">
      <c r="A26" s="215">
        <v>5</v>
      </c>
      <c r="B26" s="97" t="s">
        <v>210</v>
      </c>
      <c r="C26" s="92" t="s">
        <v>380</v>
      </c>
      <c r="D26" s="106">
        <f t="shared" si="46"/>
        <v>47353.77</v>
      </c>
      <c r="E26" s="93">
        <v>23676.89</v>
      </c>
      <c r="F26" s="112">
        <f t="shared" si="47"/>
        <v>0.5</v>
      </c>
      <c r="G26" s="94">
        <f>5843.11+17833.77</f>
        <v>23676.880000000001</v>
      </c>
      <c r="H26" s="112">
        <f t="shared" si="48"/>
        <v>0.5</v>
      </c>
      <c r="I26" s="93">
        <v>0</v>
      </c>
      <c r="J26" s="93">
        <v>0</v>
      </c>
      <c r="K26" s="88">
        <f t="shared" ref="K26" si="52">(J26+I26)/D26</f>
        <v>0</v>
      </c>
      <c r="L26" s="77" t="s">
        <v>14</v>
      </c>
    </row>
    <row r="27" spans="1:17" ht="33.75" x14ac:dyDescent="0.25">
      <c r="A27" s="215">
        <v>6</v>
      </c>
      <c r="B27" s="97" t="s">
        <v>210</v>
      </c>
      <c r="C27" s="92" t="s">
        <v>381</v>
      </c>
      <c r="D27" s="106">
        <f t="shared" si="46"/>
        <v>26568</v>
      </c>
      <c r="E27" s="93">
        <f>12054+1230</f>
        <v>13284</v>
      </c>
      <c r="F27" s="107">
        <f t="shared" si="47"/>
        <v>0.5</v>
      </c>
      <c r="G27" s="94">
        <v>13284</v>
      </c>
      <c r="H27" s="112">
        <f t="shared" si="48"/>
        <v>0.5</v>
      </c>
      <c r="I27" s="93">
        <v>0</v>
      </c>
      <c r="J27" s="94">
        <v>0</v>
      </c>
      <c r="K27" s="88">
        <f t="shared" ref="K27" si="53">(J27+I27)/D27</f>
        <v>0</v>
      </c>
      <c r="L27" s="236" t="s">
        <v>14</v>
      </c>
    </row>
    <row r="28" spans="1:17" ht="33.75" x14ac:dyDescent="0.25">
      <c r="A28" s="215">
        <v>7</v>
      </c>
      <c r="B28" s="97" t="s">
        <v>213</v>
      </c>
      <c r="C28" s="92" t="s">
        <v>382</v>
      </c>
      <c r="D28" s="106">
        <f t="shared" si="46"/>
        <v>53505</v>
      </c>
      <c r="E28" s="93">
        <v>26752.5</v>
      </c>
      <c r="F28" s="107">
        <f t="shared" si="47"/>
        <v>0.5</v>
      </c>
      <c r="G28" s="94">
        <f>3382.5+23370</f>
        <v>26752.5</v>
      </c>
      <c r="H28" s="112">
        <f t="shared" si="48"/>
        <v>0.5</v>
      </c>
      <c r="I28" s="93">
        <v>0</v>
      </c>
      <c r="J28" s="93">
        <v>0</v>
      </c>
      <c r="K28" s="88">
        <f t="shared" ref="K28" si="54">(J28+I28)/D28</f>
        <v>0</v>
      </c>
      <c r="L28" s="77" t="s">
        <v>14</v>
      </c>
    </row>
    <row r="29" spans="1:17" ht="33.75" x14ac:dyDescent="0.25">
      <c r="A29" s="215">
        <v>12</v>
      </c>
      <c r="B29" s="97">
        <v>2022</v>
      </c>
      <c r="C29" s="92" t="s">
        <v>383</v>
      </c>
      <c r="D29" s="106">
        <f t="shared" ref="D29:D35" si="55">E29+G29+I29+J29</f>
        <v>3894830.71</v>
      </c>
      <c r="E29" s="93">
        <v>1014457.21</v>
      </c>
      <c r="F29" s="107">
        <f t="shared" si="47"/>
        <v>0.26</v>
      </c>
      <c r="G29" s="94">
        <v>1004657.59</v>
      </c>
      <c r="H29" s="112">
        <f t="shared" si="48"/>
        <v>0.26</v>
      </c>
      <c r="I29" s="93">
        <v>1875715.91</v>
      </c>
      <c r="J29" s="93">
        <v>0</v>
      </c>
      <c r="K29" s="88">
        <f t="shared" ref="K29" si="56">(J29+I29)/D29</f>
        <v>0.48</v>
      </c>
      <c r="L29" s="235" t="s">
        <v>14</v>
      </c>
      <c r="M29" s="115"/>
    </row>
    <row r="30" spans="1:17" ht="22.5" x14ac:dyDescent="0.25">
      <c r="A30" s="215">
        <v>13</v>
      </c>
      <c r="B30" s="97">
        <v>2022</v>
      </c>
      <c r="C30" s="92" t="s">
        <v>384</v>
      </c>
      <c r="D30" s="106">
        <f t="shared" si="55"/>
        <v>3285124.81</v>
      </c>
      <c r="E30" s="93">
        <v>995406.54</v>
      </c>
      <c r="F30" s="107">
        <f t="shared" si="47"/>
        <v>0.3</v>
      </c>
      <c r="G30" s="94">
        <v>941897.09</v>
      </c>
      <c r="H30" s="112">
        <f t="shared" si="48"/>
        <v>0.28999999999999998</v>
      </c>
      <c r="I30" s="93">
        <v>1347821.18</v>
      </c>
      <c r="J30" s="93">
        <v>0</v>
      </c>
      <c r="K30" s="88">
        <f>(J30+I30)/D30</f>
        <v>0.41</v>
      </c>
      <c r="L30" s="235" t="s">
        <v>14</v>
      </c>
      <c r="M30" s="115"/>
    </row>
    <row r="31" spans="1:17" ht="45" x14ac:dyDescent="0.25">
      <c r="A31" s="215">
        <v>14</v>
      </c>
      <c r="B31" s="97" t="s">
        <v>219</v>
      </c>
      <c r="C31" s="145" t="s">
        <v>385</v>
      </c>
      <c r="D31" s="106">
        <f t="shared" si="55"/>
        <v>87883.5</v>
      </c>
      <c r="E31" s="93">
        <v>43941.75</v>
      </c>
      <c r="F31" s="107">
        <f t="shared" si="47"/>
        <v>0.5</v>
      </c>
      <c r="G31" s="94">
        <v>43941.75</v>
      </c>
      <c r="H31" s="112">
        <f t="shared" si="48"/>
        <v>0.5</v>
      </c>
      <c r="I31" s="93">
        <v>0</v>
      </c>
      <c r="J31" s="93">
        <v>0</v>
      </c>
      <c r="K31" s="88">
        <f t="shared" ref="K31" si="57">(J31+I31)/D31</f>
        <v>0</v>
      </c>
      <c r="L31" s="235" t="s">
        <v>14</v>
      </c>
    </row>
    <row r="32" spans="1:17" ht="33.75" x14ac:dyDescent="0.25">
      <c r="A32" s="215">
        <v>15</v>
      </c>
      <c r="B32" s="97" t="s">
        <v>219</v>
      </c>
      <c r="C32" s="145" t="s">
        <v>386</v>
      </c>
      <c r="D32" s="106">
        <f t="shared" si="55"/>
        <v>52890</v>
      </c>
      <c r="E32" s="93">
        <v>26445</v>
      </c>
      <c r="F32" s="107">
        <f t="shared" si="47"/>
        <v>0.5</v>
      </c>
      <c r="G32" s="94">
        <v>26445</v>
      </c>
      <c r="H32" s="112">
        <f t="shared" si="48"/>
        <v>0.5</v>
      </c>
      <c r="I32" s="93">
        <v>0</v>
      </c>
      <c r="J32" s="93">
        <v>0</v>
      </c>
      <c r="K32" s="88">
        <f t="shared" ref="K32" si="58">(J32+I32)/D32</f>
        <v>0</v>
      </c>
      <c r="L32" s="235" t="s">
        <v>14</v>
      </c>
      <c r="M32" s="115"/>
    </row>
    <row r="33" spans="1:13" ht="33.75" x14ac:dyDescent="0.25">
      <c r="A33" s="215">
        <v>19</v>
      </c>
      <c r="B33" s="97">
        <v>2022</v>
      </c>
      <c r="C33" s="92" t="s">
        <v>387</v>
      </c>
      <c r="D33" s="106">
        <f t="shared" si="55"/>
        <v>124783.5</v>
      </c>
      <c r="E33" s="93">
        <v>38191.5</v>
      </c>
      <c r="F33" s="107">
        <f t="shared" si="47"/>
        <v>0.31</v>
      </c>
      <c r="G33" s="94">
        <v>0</v>
      </c>
      <c r="H33" s="112">
        <f t="shared" si="48"/>
        <v>0</v>
      </c>
      <c r="I33" s="93">
        <v>86592</v>
      </c>
      <c r="J33" s="93">
        <v>0</v>
      </c>
      <c r="K33" s="88">
        <f>(J33+I33)/D33</f>
        <v>0.69</v>
      </c>
      <c r="L33" s="235" t="s">
        <v>14</v>
      </c>
    </row>
    <row r="34" spans="1:13" ht="33.75" x14ac:dyDescent="0.25">
      <c r="A34" s="215">
        <v>20</v>
      </c>
      <c r="B34" s="97" t="s">
        <v>255</v>
      </c>
      <c r="C34" s="145" t="s">
        <v>388</v>
      </c>
      <c r="D34" s="106">
        <f t="shared" si="55"/>
        <v>7463968.0700000003</v>
      </c>
      <c r="E34" s="93">
        <f>478101.94+2013882.1</f>
        <v>2491984.04</v>
      </c>
      <c r="F34" s="107">
        <f t="shared" si="47"/>
        <v>0.33</v>
      </c>
      <c r="G34" s="94">
        <f>478101.92+2013882.11</f>
        <v>2491984.0299999998</v>
      </c>
      <c r="H34" s="112">
        <f t="shared" si="48"/>
        <v>0.33</v>
      </c>
      <c r="I34" s="93">
        <f>915958.26+1564041.74</f>
        <v>2480000</v>
      </c>
      <c r="J34" s="93">
        <v>0</v>
      </c>
      <c r="K34" s="88">
        <f>(J34+I34)/D34</f>
        <v>0.33</v>
      </c>
      <c r="L34" s="235" t="s">
        <v>14</v>
      </c>
    </row>
    <row r="35" spans="1:13" ht="33.75" x14ac:dyDescent="0.25">
      <c r="A35" s="215">
        <v>21</v>
      </c>
      <c r="B35" s="97" t="s">
        <v>216</v>
      </c>
      <c r="C35" s="92" t="s">
        <v>389</v>
      </c>
      <c r="D35" s="106">
        <f t="shared" si="55"/>
        <v>2077270</v>
      </c>
      <c r="E35" s="93">
        <v>547624.97</v>
      </c>
      <c r="F35" s="107">
        <f t="shared" si="47"/>
        <v>0.26</v>
      </c>
      <c r="G35" s="94">
        <v>542803.36</v>
      </c>
      <c r="H35" s="112">
        <f t="shared" si="48"/>
        <v>0.26</v>
      </c>
      <c r="I35" s="93">
        <v>986841.67</v>
      </c>
      <c r="J35" s="93">
        <v>0</v>
      </c>
      <c r="K35" s="88">
        <f t="shared" ref="K35" si="59">(J35+I35)/D35</f>
        <v>0.48</v>
      </c>
      <c r="L35" s="235" t="s">
        <v>14</v>
      </c>
    </row>
    <row r="36" spans="1:13" ht="56.25" x14ac:dyDescent="0.25">
      <c r="A36" s="209">
        <v>22</v>
      </c>
      <c r="B36" s="81" t="s">
        <v>433</v>
      </c>
      <c r="C36" s="155" t="s">
        <v>431</v>
      </c>
      <c r="D36" s="139">
        <f>E36+G36+I36+J36</f>
        <v>189174</v>
      </c>
      <c r="E36" s="113">
        <f>13407+75030+6150</f>
        <v>94587</v>
      </c>
      <c r="F36" s="114">
        <f t="shared" si="47"/>
        <v>0.5</v>
      </c>
      <c r="G36" s="222">
        <f>13407+75030+6150</f>
        <v>94587</v>
      </c>
      <c r="H36" s="141">
        <f t="shared" si="48"/>
        <v>0.5</v>
      </c>
      <c r="I36" s="113">
        <v>0</v>
      </c>
      <c r="J36" s="113">
        <v>0</v>
      </c>
      <c r="K36" s="114">
        <f>(J36+I36)/D36</f>
        <v>0</v>
      </c>
      <c r="L36" s="77" t="s">
        <v>14</v>
      </c>
      <c r="M36" s="115"/>
    </row>
    <row r="37" spans="1:13" ht="37.5" customHeight="1" x14ac:dyDescent="0.25">
      <c r="A37" s="334">
        <v>23</v>
      </c>
      <c r="B37" s="335">
        <v>2023</v>
      </c>
      <c r="C37" s="336" t="s">
        <v>476</v>
      </c>
      <c r="D37" s="139">
        <f>E37+G37+I37+J37</f>
        <v>323490</v>
      </c>
      <c r="E37" s="144">
        <f>33886.5+127858.5</f>
        <v>161745</v>
      </c>
      <c r="F37" s="142">
        <f t="shared" si="47"/>
        <v>0.5</v>
      </c>
      <c r="G37" s="337">
        <f>33886.5+127858.5</f>
        <v>161745</v>
      </c>
      <c r="H37" s="143">
        <f t="shared" si="48"/>
        <v>0.5</v>
      </c>
      <c r="I37" s="144">
        <v>0</v>
      </c>
      <c r="J37" s="144">
        <v>0</v>
      </c>
      <c r="K37" s="114">
        <f>(J37+I37)/D37</f>
        <v>0</v>
      </c>
      <c r="L37" s="77" t="s">
        <v>14</v>
      </c>
    </row>
    <row r="38" spans="1:13" ht="34.5" customHeight="1" x14ac:dyDescent="0.25">
      <c r="A38" s="215">
        <v>16</v>
      </c>
      <c r="B38" s="97" t="s">
        <v>216</v>
      </c>
      <c r="C38" s="145" t="s">
        <v>477</v>
      </c>
      <c r="D38" s="106">
        <f t="shared" ref="D38" si="60">E38+G38+I38+J38</f>
        <v>60024</v>
      </c>
      <c r="E38" s="94">
        <f>22017+7995</f>
        <v>30012</v>
      </c>
      <c r="F38" s="107">
        <f t="shared" si="47"/>
        <v>0.5</v>
      </c>
      <c r="G38" s="94">
        <f>22017+7995</f>
        <v>30012</v>
      </c>
      <c r="H38" s="112">
        <f t="shared" si="48"/>
        <v>0.5</v>
      </c>
      <c r="I38" s="93">
        <v>0</v>
      </c>
      <c r="J38" s="93">
        <v>0</v>
      </c>
      <c r="K38" s="88">
        <f t="shared" ref="K38" si="61">(J38+I38)/D38</f>
        <v>0</v>
      </c>
      <c r="L38" s="235" t="s">
        <v>14</v>
      </c>
    </row>
    <row r="39" spans="1:13" ht="22.5" x14ac:dyDescent="0.25">
      <c r="A39" s="215">
        <v>24</v>
      </c>
      <c r="B39" s="97">
        <v>2023</v>
      </c>
      <c r="C39" s="92" t="s">
        <v>390</v>
      </c>
      <c r="D39" s="106">
        <f>E39+G39+I39+J39</f>
        <v>1851235.71</v>
      </c>
      <c r="E39" s="93">
        <v>102689.69</v>
      </c>
      <c r="F39" s="107">
        <f t="shared" si="47"/>
        <v>0.06</v>
      </c>
      <c r="G39" s="94">
        <v>76982.69</v>
      </c>
      <c r="H39" s="112">
        <f t="shared" si="48"/>
        <v>0.04</v>
      </c>
      <c r="I39" s="93">
        <v>0</v>
      </c>
      <c r="J39" s="93">
        <v>1671563.33</v>
      </c>
      <c r="K39" s="88">
        <f>(J39+I39)/D39</f>
        <v>0.9</v>
      </c>
      <c r="L39" s="235" t="s">
        <v>14</v>
      </c>
      <c r="M39" s="115"/>
    </row>
    <row r="40" spans="1:13" ht="45" x14ac:dyDescent="0.25">
      <c r="A40" s="215">
        <v>27</v>
      </c>
      <c r="B40" s="97" t="s">
        <v>268</v>
      </c>
      <c r="C40" s="92" t="s">
        <v>412</v>
      </c>
      <c r="D40" s="106">
        <f>E40+G40+I40+J40</f>
        <v>471477.45</v>
      </c>
      <c r="E40" s="93">
        <v>139349.16</v>
      </c>
      <c r="F40" s="107">
        <f t="shared" si="47"/>
        <v>0.3</v>
      </c>
      <c r="G40" s="94">
        <v>3373.89</v>
      </c>
      <c r="H40" s="112">
        <f t="shared" si="48"/>
        <v>0.01</v>
      </c>
      <c r="I40" s="93">
        <v>328754.40000000002</v>
      </c>
      <c r="J40" s="93">
        <v>0</v>
      </c>
      <c r="K40" s="88">
        <f t="shared" ref="K40" si="62">(J40+I40)/D40</f>
        <v>0.7</v>
      </c>
      <c r="L40" s="235" t="s">
        <v>14</v>
      </c>
    </row>
    <row r="41" spans="1:13" ht="33.75" x14ac:dyDescent="0.25">
      <c r="A41" s="215">
        <v>29</v>
      </c>
      <c r="B41" s="97">
        <v>2025</v>
      </c>
      <c r="C41" s="92" t="s">
        <v>443</v>
      </c>
      <c r="D41" s="106">
        <f t="shared" ref="D41" si="63">E41+G41+I41+J41</f>
        <v>67158</v>
      </c>
      <c r="E41" s="93">
        <v>67158</v>
      </c>
      <c r="F41" s="107">
        <f t="shared" ref="F41" si="64">E41/D41</f>
        <v>1</v>
      </c>
      <c r="G41" s="94">
        <v>0</v>
      </c>
      <c r="H41" s="112">
        <f t="shared" ref="H41:H42" si="65">G41/D41</f>
        <v>0</v>
      </c>
      <c r="I41" s="93">
        <v>0</v>
      </c>
      <c r="J41" s="93">
        <v>0</v>
      </c>
      <c r="K41" s="88">
        <f t="shared" ref="K41:K42" si="66">(J41+I41)/D41</f>
        <v>0</v>
      </c>
      <c r="L41" s="235" t="s">
        <v>14</v>
      </c>
    </row>
    <row r="42" spans="1:13" ht="25.5" customHeight="1" x14ac:dyDescent="0.25">
      <c r="A42" s="355" t="s">
        <v>34</v>
      </c>
      <c r="B42" s="355"/>
      <c r="C42" s="355"/>
      <c r="D42" s="176">
        <f>SUM(D8:D41)</f>
        <v>33085653.82</v>
      </c>
      <c r="E42" s="176">
        <f>SUM(E22:E39)</f>
        <v>6514148.7000000002</v>
      </c>
      <c r="F42" s="177">
        <f>E42/D42</f>
        <v>0.2</v>
      </c>
      <c r="G42" s="176">
        <f>SUM(G22:G39)</f>
        <v>6382119.4800000004</v>
      </c>
      <c r="H42" s="178">
        <f t="shared" si="65"/>
        <v>0.19</v>
      </c>
      <c r="I42" s="176">
        <f>SUM(I22:I39)</f>
        <v>7931512.9199999999</v>
      </c>
      <c r="J42" s="176">
        <f>SUM(J22:J39)</f>
        <v>1671563.33</v>
      </c>
      <c r="K42" s="177">
        <f t="shared" si="66"/>
        <v>0.28999999999999998</v>
      </c>
      <c r="L42" s="237"/>
    </row>
  </sheetData>
  <mergeCells count="18">
    <mergeCell ref="A42:C42"/>
    <mergeCell ref="I5:I6"/>
    <mergeCell ref="J5:J6"/>
    <mergeCell ref="K5:K6"/>
    <mergeCell ref="E5:E6"/>
    <mergeCell ref="F5:F6"/>
    <mergeCell ref="G5:G6"/>
    <mergeCell ref="H5:H6"/>
    <mergeCell ref="A2:L2"/>
    <mergeCell ref="A3:A6"/>
    <mergeCell ref="B3:B6"/>
    <mergeCell ref="C3:C6"/>
    <mergeCell ref="D3:D6"/>
    <mergeCell ref="E3:K3"/>
    <mergeCell ref="L3:L6"/>
    <mergeCell ref="E4:F4"/>
    <mergeCell ref="G4:H4"/>
    <mergeCell ref="I4:K4"/>
  </mergeCells>
  <phoneticPr fontId="19" type="noConversion"/>
  <pageMargins left="0.7" right="0.7" top="0.75" bottom="0.75" header="0.3" footer="0.3"/>
  <ignoredErrors>
    <ignoredError sqref="F37:F38" 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N35"/>
  <sheetViews>
    <sheetView view="pageBreakPreview" topLeftCell="A22" zoomScale="85" zoomScaleNormal="100" zoomScaleSheetLayoutView="85" workbookViewId="0">
      <selection activeCell="I31" sqref="I31"/>
    </sheetView>
  </sheetViews>
  <sheetFormatPr defaultRowHeight="15" x14ac:dyDescent="0.25"/>
  <cols>
    <col min="1" max="1" width="9.140625" style="214"/>
    <col min="2" max="2" width="16.28515625" style="50" customWidth="1"/>
    <col min="3" max="3" width="44.28515625" customWidth="1"/>
    <col min="4" max="4" width="17.7109375" style="54" customWidth="1"/>
    <col min="5" max="5" width="14.85546875" style="54" customWidth="1"/>
    <col min="6" max="6" width="15.42578125" customWidth="1"/>
    <col min="7" max="7" width="15.140625" style="54" customWidth="1"/>
    <col min="8" max="8" width="15.42578125" customWidth="1"/>
    <col min="9" max="9" width="15" style="54" customWidth="1"/>
    <col min="10" max="10" width="14" style="54" bestFit="1" customWidth="1"/>
    <col min="11" max="11" width="15" customWidth="1"/>
    <col min="12" max="12" width="19.85546875" customWidth="1"/>
    <col min="13" max="14" width="15.85546875" bestFit="1" customWidth="1"/>
  </cols>
  <sheetData>
    <row r="2" spans="1:13" ht="51.75" customHeight="1" x14ac:dyDescent="0.25">
      <c r="A2" s="338" t="s">
        <v>494</v>
      </c>
      <c r="B2" s="338"/>
      <c r="C2" s="338"/>
      <c r="D2" s="393"/>
      <c r="E2" s="393"/>
      <c r="F2" s="338"/>
      <c r="G2" s="393"/>
      <c r="H2" s="338"/>
      <c r="I2" s="393"/>
      <c r="J2" s="393"/>
      <c r="K2" s="339"/>
      <c r="L2" s="339"/>
    </row>
    <row r="3" spans="1:13" x14ac:dyDescent="0.25">
      <c r="A3" s="340" t="s">
        <v>0</v>
      </c>
      <c r="B3" s="343" t="s">
        <v>1</v>
      </c>
      <c r="C3" s="346" t="s">
        <v>2</v>
      </c>
      <c r="D3" s="349" t="s">
        <v>3</v>
      </c>
      <c r="E3" s="364" t="s">
        <v>4</v>
      </c>
      <c r="F3" s="353"/>
      <c r="G3" s="392"/>
      <c r="H3" s="353"/>
      <c r="I3" s="392"/>
      <c r="J3" s="392"/>
      <c r="K3" s="354"/>
      <c r="L3" s="346" t="s">
        <v>5</v>
      </c>
    </row>
    <row r="4" spans="1:13" ht="35.25" customHeight="1" x14ac:dyDescent="0.25">
      <c r="A4" s="341"/>
      <c r="B4" s="344"/>
      <c r="C4" s="347"/>
      <c r="D4" s="350"/>
      <c r="E4" s="364" t="s">
        <v>6</v>
      </c>
      <c r="F4" s="354"/>
      <c r="G4" s="364" t="s">
        <v>7</v>
      </c>
      <c r="H4" s="354"/>
      <c r="I4" s="364" t="s">
        <v>8</v>
      </c>
      <c r="J4" s="392"/>
      <c r="K4" s="354"/>
      <c r="L4" s="347"/>
    </row>
    <row r="5" spans="1:13" x14ac:dyDescent="0.25">
      <c r="A5" s="341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13" x14ac:dyDescent="0.25">
      <c r="A6" s="342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13" x14ac:dyDescent="0.25">
      <c r="A7" s="185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13" ht="33.75" x14ac:dyDescent="0.25">
      <c r="A8" s="203">
        <v>1</v>
      </c>
      <c r="B8" s="97">
        <v>2015</v>
      </c>
      <c r="C8" s="92" t="s">
        <v>177</v>
      </c>
      <c r="D8" s="106">
        <f>E8+G8+I8+J8</f>
        <v>749980.24</v>
      </c>
      <c r="E8" s="93">
        <v>374990.12</v>
      </c>
      <c r="F8" s="107">
        <f>(E8/D8)</f>
        <v>0.5</v>
      </c>
      <c r="G8" s="93">
        <v>374990.12</v>
      </c>
      <c r="H8" s="107">
        <f>G8/D8</f>
        <v>0.5</v>
      </c>
      <c r="I8" s="93">
        <v>0</v>
      </c>
      <c r="J8" s="93">
        <v>0</v>
      </c>
      <c r="K8" s="107">
        <f>(I8+J8)/D8</f>
        <v>0</v>
      </c>
      <c r="L8" s="108" t="s">
        <v>14</v>
      </c>
    </row>
    <row r="9" spans="1:13" ht="33.75" x14ac:dyDescent="0.25">
      <c r="A9" s="206">
        <v>2</v>
      </c>
      <c r="B9" s="119">
        <v>2015</v>
      </c>
      <c r="C9" s="92" t="s">
        <v>178</v>
      </c>
      <c r="D9" s="106">
        <f>E9+G9+I9+J9</f>
        <v>31365</v>
      </c>
      <c r="E9" s="93">
        <v>15682.5</v>
      </c>
      <c r="F9" s="107">
        <f t="shared" ref="F9" si="0">(E9/D9)</f>
        <v>0.5</v>
      </c>
      <c r="G9" s="93">
        <v>15682.5</v>
      </c>
      <c r="H9" s="107">
        <f t="shared" ref="H9" si="1">G9/D9</f>
        <v>0.5</v>
      </c>
      <c r="I9" s="93">
        <v>0</v>
      </c>
      <c r="J9" s="93">
        <v>0</v>
      </c>
      <c r="K9" s="34">
        <f t="shared" ref="K9" si="2">(I9+J9)/D9</f>
        <v>0</v>
      </c>
      <c r="L9" s="33" t="s">
        <v>14</v>
      </c>
    </row>
    <row r="10" spans="1:13" ht="45" x14ac:dyDescent="0.25">
      <c r="A10" s="206">
        <v>3</v>
      </c>
      <c r="B10" s="119">
        <v>2015</v>
      </c>
      <c r="C10" s="92" t="s">
        <v>179</v>
      </c>
      <c r="D10" s="106">
        <f>E10+G10+I10+J10</f>
        <v>144525</v>
      </c>
      <c r="E10" s="93">
        <v>72262.5</v>
      </c>
      <c r="F10" s="107">
        <f t="shared" ref="F10" si="3">(E10/D10)</f>
        <v>0.5</v>
      </c>
      <c r="G10" s="93">
        <v>72262.5</v>
      </c>
      <c r="H10" s="107">
        <f t="shared" ref="H10" si="4">G10/D10</f>
        <v>0.5</v>
      </c>
      <c r="I10" s="93">
        <v>0</v>
      </c>
      <c r="J10" s="93">
        <v>0</v>
      </c>
      <c r="K10" s="34">
        <f t="shared" ref="K10" si="5">(I10+J10)/D10</f>
        <v>0</v>
      </c>
      <c r="L10" s="33" t="s">
        <v>14</v>
      </c>
    </row>
    <row r="11" spans="1:13" ht="33.75" x14ac:dyDescent="0.25">
      <c r="A11" s="203">
        <v>4</v>
      </c>
      <c r="B11" s="119">
        <v>2015</v>
      </c>
      <c r="C11" s="92" t="s">
        <v>180</v>
      </c>
      <c r="D11" s="106">
        <f>E11+G11+I11+J11</f>
        <v>24849.599999999999</v>
      </c>
      <c r="E11" s="93">
        <v>12424.8</v>
      </c>
      <c r="F11" s="107">
        <f t="shared" ref="F11" si="6">(E11/D11)</f>
        <v>0.5</v>
      </c>
      <c r="G11" s="93">
        <v>12424.8</v>
      </c>
      <c r="H11" s="107">
        <f t="shared" ref="H11" si="7">G11/D11</f>
        <v>0.5</v>
      </c>
      <c r="I11" s="93">
        <v>0</v>
      </c>
      <c r="J11" s="93">
        <v>0</v>
      </c>
      <c r="K11" s="34">
        <f t="shared" ref="K11" si="8">(I11+J11)/D11</f>
        <v>0</v>
      </c>
      <c r="L11" s="33" t="s">
        <v>14</v>
      </c>
      <c r="M11" s="115"/>
    </row>
    <row r="12" spans="1:13" ht="22.5" x14ac:dyDescent="0.25">
      <c r="A12" s="206">
        <v>5</v>
      </c>
      <c r="B12" s="97">
        <v>2016</v>
      </c>
      <c r="C12" s="92" t="s">
        <v>181</v>
      </c>
      <c r="D12" s="106">
        <f t="shared" ref="D12:D22" si="9">E12+G12+I12+J12</f>
        <v>1196466.8999999999</v>
      </c>
      <c r="E12" s="93">
        <v>598233.44999999995</v>
      </c>
      <c r="F12" s="107">
        <f t="shared" ref="F12" si="10">(E12/D12)</f>
        <v>0.5</v>
      </c>
      <c r="G12" s="94">
        <v>598233.44999999995</v>
      </c>
      <c r="H12" s="107">
        <f t="shared" ref="H12" si="11">G12/D12</f>
        <v>0.5</v>
      </c>
      <c r="I12" s="93">
        <v>0</v>
      </c>
      <c r="J12" s="93">
        <v>0</v>
      </c>
      <c r="K12" s="107">
        <f t="shared" ref="K12" si="12">(I12+J12)/D12</f>
        <v>0</v>
      </c>
      <c r="L12" s="96" t="s">
        <v>14</v>
      </c>
    </row>
    <row r="13" spans="1:13" ht="22.5" x14ac:dyDescent="0.25">
      <c r="A13" s="206">
        <v>6</v>
      </c>
      <c r="B13" s="97">
        <v>2016</v>
      </c>
      <c r="C13" s="92" t="s">
        <v>182</v>
      </c>
      <c r="D13" s="106">
        <f t="shared" si="9"/>
        <v>455919.5</v>
      </c>
      <c r="E13" s="93">
        <v>227959.75</v>
      </c>
      <c r="F13" s="107">
        <f t="shared" ref="F13" si="13">(E13/D13)</f>
        <v>0.5</v>
      </c>
      <c r="G13" s="94">
        <v>227959.75</v>
      </c>
      <c r="H13" s="107">
        <f t="shared" ref="H13" si="14">G13/D13</f>
        <v>0.5</v>
      </c>
      <c r="I13" s="93">
        <v>0</v>
      </c>
      <c r="J13" s="93">
        <v>0</v>
      </c>
      <c r="K13" s="107">
        <f t="shared" ref="K13" si="15">(I13+J13)/D13</f>
        <v>0</v>
      </c>
      <c r="L13" s="96" t="s">
        <v>14</v>
      </c>
    </row>
    <row r="14" spans="1:13" ht="33.75" x14ac:dyDescent="0.25">
      <c r="A14" s="203">
        <v>7</v>
      </c>
      <c r="B14" s="119" t="s">
        <v>514</v>
      </c>
      <c r="C14" s="145" t="s">
        <v>183</v>
      </c>
      <c r="D14" s="137">
        <f t="shared" si="9"/>
        <v>110700</v>
      </c>
      <c r="E14" s="93">
        <v>55700</v>
      </c>
      <c r="F14" s="207">
        <f t="shared" ref="F14" si="16">(E14/D14)</f>
        <v>0.5</v>
      </c>
      <c r="G14" s="94">
        <v>55000</v>
      </c>
      <c r="H14" s="207">
        <f t="shared" ref="H14" si="17">G14/D14</f>
        <v>0.5</v>
      </c>
      <c r="I14" s="93">
        <v>0</v>
      </c>
      <c r="J14" s="93">
        <v>0</v>
      </c>
      <c r="K14" s="207">
        <f t="shared" ref="K14" si="18">(I14+J14)/D14</f>
        <v>0</v>
      </c>
      <c r="L14" s="208" t="s">
        <v>14</v>
      </c>
    </row>
    <row r="15" spans="1:13" ht="33.75" x14ac:dyDescent="0.25">
      <c r="A15" s="206">
        <v>8</v>
      </c>
      <c r="B15" s="97" t="s">
        <v>505</v>
      </c>
      <c r="C15" s="92" t="s">
        <v>184</v>
      </c>
      <c r="D15" s="106">
        <f t="shared" si="9"/>
        <v>58725</v>
      </c>
      <c r="E15" s="93">
        <f>16447.5+12915</f>
        <v>29362.5</v>
      </c>
      <c r="F15" s="107">
        <f t="shared" ref="F15" si="19">(E15/D15)</f>
        <v>0.5</v>
      </c>
      <c r="G15" s="94">
        <v>29362.5</v>
      </c>
      <c r="H15" s="107">
        <f t="shared" ref="H15" si="20">G15/D15</f>
        <v>0.5</v>
      </c>
      <c r="I15" s="93">
        <v>0</v>
      </c>
      <c r="J15" s="93">
        <v>0</v>
      </c>
      <c r="K15" s="107">
        <f t="shared" ref="K15" si="21">(I15+J15)/D15</f>
        <v>0</v>
      </c>
      <c r="L15" s="96" t="s">
        <v>14</v>
      </c>
    </row>
    <row r="16" spans="1:13" ht="63" x14ac:dyDescent="0.25">
      <c r="A16" s="206">
        <v>9</v>
      </c>
      <c r="B16" s="98" t="s">
        <v>505</v>
      </c>
      <c r="C16" s="99" t="s">
        <v>185</v>
      </c>
      <c r="D16" s="106">
        <f>E16+G16+I16+J16</f>
        <v>6702892.0199999996</v>
      </c>
      <c r="E16" s="101">
        <v>1031327.99</v>
      </c>
      <c r="F16" s="107">
        <f t="shared" ref="F16" si="22">(E16/D16)</f>
        <v>0.15</v>
      </c>
      <c r="G16" s="103">
        <v>3628486.47</v>
      </c>
      <c r="H16" s="107">
        <f t="shared" ref="H16" si="23">G16/D16</f>
        <v>0.54</v>
      </c>
      <c r="I16" s="101"/>
      <c r="J16" s="101">
        <v>2043077.56</v>
      </c>
      <c r="K16" s="107">
        <f>(I16+J16)/D16</f>
        <v>0.3</v>
      </c>
      <c r="L16" s="104" t="s">
        <v>186</v>
      </c>
      <c r="M16" s="243"/>
    </row>
    <row r="17" spans="1:14" ht="27.75" customHeight="1" x14ac:dyDescent="0.25">
      <c r="A17" s="203">
        <v>10</v>
      </c>
      <c r="B17" s="97">
        <v>2018</v>
      </c>
      <c r="C17" s="92" t="s">
        <v>187</v>
      </c>
      <c r="D17" s="106">
        <f t="shared" si="9"/>
        <v>7390321.9800000004</v>
      </c>
      <c r="E17" s="93">
        <v>1975160.99</v>
      </c>
      <c r="F17" s="107">
        <f t="shared" ref="F17" si="24">(E17/D17)</f>
        <v>0.27</v>
      </c>
      <c r="G17" s="94">
        <v>1975160.99</v>
      </c>
      <c r="H17" s="107">
        <f t="shared" ref="H17" si="25">G17/D17</f>
        <v>0.27</v>
      </c>
      <c r="I17" s="93">
        <v>3000000</v>
      </c>
      <c r="J17" s="93">
        <v>440000</v>
      </c>
      <c r="K17" s="107">
        <f t="shared" ref="K17" si="26">(I17+J17)/D17</f>
        <v>0.47</v>
      </c>
      <c r="L17" s="96" t="s">
        <v>14</v>
      </c>
    </row>
    <row r="18" spans="1:14" ht="22.5" x14ac:dyDescent="0.25">
      <c r="A18" s="206">
        <v>11</v>
      </c>
      <c r="B18" s="97">
        <v>2018</v>
      </c>
      <c r="C18" s="92" t="s">
        <v>188</v>
      </c>
      <c r="D18" s="106">
        <f t="shared" si="9"/>
        <v>775248.09</v>
      </c>
      <c r="E18" s="93">
        <v>387624.05</v>
      </c>
      <c r="F18" s="107">
        <f t="shared" ref="F18" si="27">(E18/D18)</f>
        <v>0.5</v>
      </c>
      <c r="G18" s="94">
        <v>387624.04</v>
      </c>
      <c r="H18" s="107">
        <f t="shared" ref="H18" si="28">G18/D18</f>
        <v>0.5</v>
      </c>
      <c r="I18" s="93">
        <v>0</v>
      </c>
      <c r="J18" s="93">
        <v>0</v>
      </c>
      <c r="K18" s="107">
        <f t="shared" ref="K18" si="29">(I18+J18)/D18</f>
        <v>0</v>
      </c>
      <c r="L18" s="96" t="s">
        <v>14</v>
      </c>
    </row>
    <row r="19" spans="1:14" ht="42" x14ac:dyDescent="0.25">
      <c r="A19" s="206">
        <v>12</v>
      </c>
      <c r="B19" s="119" t="s">
        <v>460</v>
      </c>
      <c r="C19" s="121" t="s">
        <v>272</v>
      </c>
      <c r="D19" s="106">
        <f t="shared" si="9"/>
        <v>176136</v>
      </c>
      <c r="E19" s="93">
        <v>176136</v>
      </c>
      <c r="F19" s="107">
        <f t="shared" ref="F19:F28" si="30">E19/D19</f>
        <v>1</v>
      </c>
      <c r="G19" s="94">
        <v>0</v>
      </c>
      <c r="H19" s="112">
        <f t="shared" ref="H19:H28" si="31">G19/D19</f>
        <v>0</v>
      </c>
      <c r="I19" s="93">
        <v>0</v>
      </c>
      <c r="J19" s="93">
        <v>0</v>
      </c>
      <c r="K19" s="88">
        <v>0</v>
      </c>
      <c r="L19" s="96" t="s">
        <v>14</v>
      </c>
      <c r="M19" s="239"/>
      <c r="N19" s="138"/>
    </row>
    <row r="20" spans="1:14" ht="22.5" x14ac:dyDescent="0.25">
      <c r="A20" s="203">
        <v>13</v>
      </c>
      <c r="B20" s="97">
        <v>2020</v>
      </c>
      <c r="C20" s="145" t="s">
        <v>367</v>
      </c>
      <c r="D20" s="137">
        <f t="shared" si="9"/>
        <v>5188825.12</v>
      </c>
      <c r="E20" s="93">
        <v>1347068.54</v>
      </c>
      <c r="F20" s="207">
        <f t="shared" si="30"/>
        <v>0.26</v>
      </c>
      <c r="G20" s="94">
        <f>625830.11+667238.43</f>
        <v>1293068.54</v>
      </c>
      <c r="H20" s="210">
        <f t="shared" si="31"/>
        <v>0.25</v>
      </c>
      <c r="I20" s="93">
        <v>2548688.04</v>
      </c>
      <c r="J20" s="93">
        <v>0</v>
      </c>
      <c r="K20" s="207">
        <f>I20/D20</f>
        <v>0.49</v>
      </c>
      <c r="L20" s="211" t="s">
        <v>14</v>
      </c>
      <c r="M20" s="115"/>
    </row>
    <row r="21" spans="1:14" ht="22.5" x14ac:dyDescent="0.25">
      <c r="A21" s="206">
        <v>14</v>
      </c>
      <c r="B21" s="97">
        <v>2020</v>
      </c>
      <c r="C21" s="92" t="s">
        <v>368</v>
      </c>
      <c r="D21" s="106">
        <f>E21+G21+I21+J21</f>
        <v>7014024.4299999997</v>
      </c>
      <c r="E21" s="93">
        <f>1467319.66+420000</f>
        <v>1887319.66</v>
      </c>
      <c r="F21" s="107">
        <f t="shared" si="30"/>
        <v>0.27</v>
      </c>
      <c r="G21" s="94">
        <v>1887319.66</v>
      </c>
      <c r="H21" s="112">
        <f t="shared" si="31"/>
        <v>0.27</v>
      </c>
      <c r="I21" s="93">
        <v>3239385.11</v>
      </c>
      <c r="J21" s="93"/>
      <c r="K21" s="88">
        <f>(I21+J21)/D21</f>
        <v>0.46</v>
      </c>
      <c r="L21" s="96" t="s">
        <v>14</v>
      </c>
    </row>
    <row r="22" spans="1:14" ht="31.5" x14ac:dyDescent="0.25">
      <c r="A22" s="206">
        <v>15</v>
      </c>
      <c r="B22" s="98" t="s">
        <v>210</v>
      </c>
      <c r="C22" s="99" t="s">
        <v>369</v>
      </c>
      <c r="D22" s="106">
        <f t="shared" si="9"/>
        <v>35178</v>
      </c>
      <c r="E22" s="101">
        <v>17589</v>
      </c>
      <c r="F22" s="102">
        <f t="shared" si="30"/>
        <v>0.5</v>
      </c>
      <c r="G22" s="103">
        <f>14268+3321</f>
        <v>17589</v>
      </c>
      <c r="H22" s="95">
        <f t="shared" si="31"/>
        <v>0.5</v>
      </c>
      <c r="I22" s="101">
        <v>0</v>
      </c>
      <c r="J22" s="101">
        <v>0</v>
      </c>
      <c r="K22" s="110">
        <v>0</v>
      </c>
      <c r="L22" s="111" t="s">
        <v>14</v>
      </c>
      <c r="N22" s="115"/>
    </row>
    <row r="23" spans="1:14" ht="21" x14ac:dyDescent="0.25">
      <c r="A23" s="203">
        <v>16</v>
      </c>
      <c r="B23" s="98">
        <v>2021</v>
      </c>
      <c r="C23" s="121" t="s">
        <v>370</v>
      </c>
      <c r="D23" s="137">
        <f t="shared" ref="D23:D34" si="32">E23+G23+I23+J23</f>
        <v>1214783.6399999999</v>
      </c>
      <c r="E23" s="101">
        <v>320407.55</v>
      </c>
      <c r="F23" s="218">
        <f t="shared" si="30"/>
        <v>0.26</v>
      </c>
      <c r="G23" s="103">
        <v>320407.55</v>
      </c>
      <c r="H23" s="219">
        <f t="shared" si="31"/>
        <v>0.26</v>
      </c>
      <c r="I23" s="101">
        <v>573968.54</v>
      </c>
      <c r="J23" s="101">
        <v>0</v>
      </c>
      <c r="K23" s="220">
        <f>I23/D23</f>
        <v>0.47</v>
      </c>
      <c r="L23" s="221" t="s">
        <v>14</v>
      </c>
    </row>
    <row r="24" spans="1:14" ht="54.75" customHeight="1" x14ac:dyDescent="0.25">
      <c r="A24" s="206">
        <v>17</v>
      </c>
      <c r="B24" s="98">
        <v>2021</v>
      </c>
      <c r="C24" s="121" t="s">
        <v>512</v>
      </c>
      <c r="D24" s="106">
        <f>(E24/2)+G24+(I24/2)</f>
        <v>6310590.71</v>
      </c>
      <c r="E24" s="101">
        <v>3160942.24</v>
      </c>
      <c r="F24" s="102">
        <f>E24/D24</f>
        <v>0.5</v>
      </c>
      <c r="G24" s="103">
        <f>3160942.24/2</f>
        <v>1580471.12</v>
      </c>
      <c r="H24" s="95">
        <f>G24/D24</f>
        <v>0.25</v>
      </c>
      <c r="I24" s="101">
        <v>6299296.9400000004</v>
      </c>
      <c r="J24" s="101"/>
      <c r="K24" s="110">
        <f>(J24+I24)/D24</f>
        <v>1</v>
      </c>
      <c r="L24" s="104" t="s">
        <v>14</v>
      </c>
      <c r="M24" s="52"/>
      <c r="N24" s="115"/>
    </row>
    <row r="25" spans="1:14" ht="21" x14ac:dyDescent="0.25">
      <c r="A25" s="206">
        <v>18</v>
      </c>
      <c r="B25" s="98">
        <v>2022</v>
      </c>
      <c r="C25" s="99" t="s">
        <v>371</v>
      </c>
      <c r="D25" s="106">
        <f t="shared" si="32"/>
        <v>7392258.3300000001</v>
      </c>
      <c r="E25" s="103">
        <v>1916648.51</v>
      </c>
      <c r="F25" s="102">
        <f t="shared" si="30"/>
        <v>0.26</v>
      </c>
      <c r="G25" s="103">
        <v>1916648.51</v>
      </c>
      <c r="H25" s="95">
        <f t="shared" si="31"/>
        <v>0.26</v>
      </c>
      <c r="I25" s="101">
        <v>3558961.31</v>
      </c>
      <c r="J25" s="101">
        <v>0</v>
      </c>
      <c r="K25" s="102">
        <f>I25/D25</f>
        <v>0.48</v>
      </c>
      <c r="L25" s="104" t="s">
        <v>14</v>
      </c>
    </row>
    <row r="26" spans="1:14" ht="31.5" x14ac:dyDescent="0.25">
      <c r="A26" s="203">
        <v>19</v>
      </c>
      <c r="B26" s="118">
        <v>2022</v>
      </c>
      <c r="C26" s="99" t="s">
        <v>372</v>
      </c>
      <c r="D26" s="106">
        <f t="shared" si="32"/>
        <v>88929</v>
      </c>
      <c r="E26" s="103">
        <v>18388.5</v>
      </c>
      <c r="F26" s="102">
        <f t="shared" si="30"/>
        <v>0.21</v>
      </c>
      <c r="G26" s="103">
        <v>18388.5</v>
      </c>
      <c r="H26" s="95">
        <f t="shared" si="31"/>
        <v>0.21</v>
      </c>
      <c r="I26" s="101">
        <v>52152</v>
      </c>
      <c r="J26" s="101">
        <v>0</v>
      </c>
      <c r="K26" s="102">
        <f>I26/D26</f>
        <v>0.59</v>
      </c>
      <c r="L26" s="104" t="s">
        <v>14</v>
      </c>
    </row>
    <row r="27" spans="1:14" ht="31.5" x14ac:dyDescent="0.25">
      <c r="A27" s="206">
        <v>20</v>
      </c>
      <c r="B27" s="118">
        <v>2022</v>
      </c>
      <c r="C27" s="99" t="s">
        <v>373</v>
      </c>
      <c r="D27" s="106">
        <f t="shared" si="32"/>
        <v>112360.75</v>
      </c>
      <c r="E27" s="103">
        <v>12884.38</v>
      </c>
      <c r="F27" s="102">
        <f t="shared" si="30"/>
        <v>0.11</v>
      </c>
      <c r="G27" s="103">
        <v>12884.37</v>
      </c>
      <c r="H27" s="95">
        <f t="shared" si="31"/>
        <v>0.11</v>
      </c>
      <c r="I27" s="101">
        <v>86592</v>
      </c>
      <c r="J27" s="101">
        <v>0</v>
      </c>
      <c r="K27" s="102">
        <f>I27/D27</f>
        <v>0.77</v>
      </c>
      <c r="L27" s="104" t="s">
        <v>14</v>
      </c>
    </row>
    <row r="28" spans="1:14" ht="21" x14ac:dyDescent="0.25">
      <c r="A28" s="206">
        <v>21</v>
      </c>
      <c r="B28" s="2" t="s">
        <v>216</v>
      </c>
      <c r="C28" s="90" t="s">
        <v>374</v>
      </c>
      <c r="D28" s="83">
        <f t="shared" si="32"/>
        <v>7161255.96</v>
      </c>
      <c r="E28" s="154">
        <v>1834377.98</v>
      </c>
      <c r="F28" s="110">
        <f t="shared" si="30"/>
        <v>0.26</v>
      </c>
      <c r="G28" s="169">
        <v>1834377.98</v>
      </c>
      <c r="H28" s="140">
        <f t="shared" si="31"/>
        <v>0.26</v>
      </c>
      <c r="I28" s="154">
        <v>3492500</v>
      </c>
      <c r="J28" s="154">
        <v>0</v>
      </c>
      <c r="K28" s="110">
        <f>I28/D28</f>
        <v>0.49</v>
      </c>
      <c r="L28" s="111" t="s">
        <v>14</v>
      </c>
    </row>
    <row r="29" spans="1:14" ht="31.5" x14ac:dyDescent="0.25">
      <c r="A29" s="203">
        <v>22</v>
      </c>
      <c r="B29" s="2" t="s">
        <v>268</v>
      </c>
      <c r="C29" s="127" t="s">
        <v>375</v>
      </c>
      <c r="D29" s="83">
        <f t="shared" si="32"/>
        <v>63345</v>
      </c>
      <c r="E29" s="156">
        <f>2152.5+29520</f>
        <v>31672.5</v>
      </c>
      <c r="F29" s="114">
        <f t="shared" ref="F29" si="33">E29/D29</f>
        <v>0.5</v>
      </c>
      <c r="G29" s="175">
        <f>2152.5+29520</f>
        <v>31672.5</v>
      </c>
      <c r="H29" s="141">
        <f t="shared" ref="H29" si="34">G29/D29</f>
        <v>0.5</v>
      </c>
      <c r="I29" s="113">
        <v>0</v>
      </c>
      <c r="J29" s="113">
        <v>0</v>
      </c>
      <c r="K29" s="110">
        <f t="shared" ref="K29:K33" si="35">I29/D29</f>
        <v>0</v>
      </c>
      <c r="L29" s="77" t="s">
        <v>14</v>
      </c>
    </row>
    <row r="30" spans="1:14" ht="73.5" x14ac:dyDescent="0.25">
      <c r="A30" s="206">
        <v>23</v>
      </c>
      <c r="B30" s="2">
        <v>2024</v>
      </c>
      <c r="C30" s="127" t="s">
        <v>486</v>
      </c>
      <c r="D30" s="106">
        <f t="shared" ref="D30" si="36">E30+G30+I30+J30</f>
        <v>186440.94</v>
      </c>
      <c r="E30" s="147">
        <v>43528.47</v>
      </c>
      <c r="F30" s="151">
        <f>E30/D30</f>
        <v>0.23</v>
      </c>
      <c r="G30" s="148">
        <v>43528.47</v>
      </c>
      <c r="H30" s="152">
        <f>G30/D30</f>
        <v>0.23</v>
      </c>
      <c r="I30" s="153">
        <v>99384</v>
      </c>
      <c r="J30" s="153"/>
      <c r="K30" s="110">
        <f t="shared" si="35"/>
        <v>0.53</v>
      </c>
      <c r="L30" s="124" t="s">
        <v>14</v>
      </c>
    </row>
    <row r="31" spans="1:14" ht="52.5" x14ac:dyDescent="0.25">
      <c r="A31" s="206">
        <v>24</v>
      </c>
      <c r="B31" s="2">
        <v>2024</v>
      </c>
      <c r="C31" s="127" t="s">
        <v>487</v>
      </c>
      <c r="D31" s="106">
        <f t="shared" ref="D31" si="37">E31+G31+I31+J31</f>
        <v>493940.94</v>
      </c>
      <c r="E31" s="147">
        <v>74278.47</v>
      </c>
      <c r="F31" s="151">
        <f>E31/D31</f>
        <v>0.15</v>
      </c>
      <c r="G31" s="148">
        <v>74278.47</v>
      </c>
      <c r="H31" s="152">
        <f>G31/D31</f>
        <v>0.15</v>
      </c>
      <c r="I31" s="153">
        <v>345384</v>
      </c>
      <c r="J31" s="153"/>
      <c r="K31" s="110">
        <f t="shared" si="35"/>
        <v>0.7</v>
      </c>
      <c r="L31" s="124" t="s">
        <v>14</v>
      </c>
    </row>
    <row r="32" spans="1:14" ht="52.5" x14ac:dyDescent="0.25">
      <c r="A32" s="203">
        <v>25</v>
      </c>
      <c r="B32" s="2">
        <v>2024</v>
      </c>
      <c r="C32" s="127" t="s">
        <v>488</v>
      </c>
      <c r="D32" s="106">
        <f t="shared" ref="D32" si="38">E32+G32+I32+J32</f>
        <v>493940.94</v>
      </c>
      <c r="E32" s="147">
        <v>74278.47</v>
      </c>
      <c r="F32" s="151">
        <f>E32/D32</f>
        <v>0.15</v>
      </c>
      <c r="G32" s="148">
        <v>74278.47</v>
      </c>
      <c r="H32" s="152">
        <f>G32/D32</f>
        <v>0.15</v>
      </c>
      <c r="I32" s="153">
        <v>345384</v>
      </c>
      <c r="J32" s="153"/>
      <c r="K32" s="110">
        <f t="shared" si="35"/>
        <v>0.7</v>
      </c>
      <c r="L32" s="124" t="s">
        <v>14</v>
      </c>
    </row>
    <row r="33" spans="1:13" ht="31.5" x14ac:dyDescent="0.25">
      <c r="A33" s="206">
        <v>26</v>
      </c>
      <c r="B33" s="2" t="s">
        <v>413</v>
      </c>
      <c r="C33" s="91" t="s">
        <v>445</v>
      </c>
      <c r="D33" s="106">
        <f t="shared" si="32"/>
        <v>905254.92</v>
      </c>
      <c r="E33" s="147">
        <v>193733.79</v>
      </c>
      <c r="F33" s="151">
        <f t="shared" ref="F33:F35" si="39">E33/D33</f>
        <v>0.21</v>
      </c>
      <c r="G33" s="148">
        <v>193607.78</v>
      </c>
      <c r="H33" s="152">
        <f t="shared" ref="H33:H35" si="40">G33/D33</f>
        <v>0.21</v>
      </c>
      <c r="I33" s="153">
        <v>517913.35</v>
      </c>
      <c r="J33" s="153">
        <v>0</v>
      </c>
      <c r="K33" s="110">
        <f t="shared" si="35"/>
        <v>0.56999999999999995</v>
      </c>
      <c r="L33" s="124" t="s">
        <v>14</v>
      </c>
      <c r="M33" s="115"/>
    </row>
    <row r="34" spans="1:13" ht="31.5" x14ac:dyDescent="0.25">
      <c r="A34" s="206">
        <v>27</v>
      </c>
      <c r="B34" s="2" t="s">
        <v>413</v>
      </c>
      <c r="C34" s="91" t="s">
        <v>444</v>
      </c>
      <c r="D34" s="106">
        <f t="shared" si="32"/>
        <v>186591</v>
      </c>
      <c r="E34" s="147">
        <v>93295.5</v>
      </c>
      <c r="F34" s="151">
        <f t="shared" si="39"/>
        <v>0.5</v>
      </c>
      <c r="G34" s="148">
        <v>93295.5</v>
      </c>
      <c r="H34" s="152">
        <f t="shared" si="40"/>
        <v>0.5</v>
      </c>
      <c r="I34" s="153">
        <v>0</v>
      </c>
      <c r="J34" s="153">
        <v>0</v>
      </c>
      <c r="K34" s="110">
        <f>I34/D34</f>
        <v>0</v>
      </c>
      <c r="L34" s="124" t="s">
        <v>14</v>
      </c>
    </row>
    <row r="35" spans="1:13" x14ac:dyDescent="0.25">
      <c r="A35" s="389" t="s">
        <v>34</v>
      </c>
      <c r="B35" s="390"/>
      <c r="C35" s="391"/>
      <c r="D35" s="172">
        <f>SUM(D8:D34)</f>
        <v>54664849.009999998</v>
      </c>
      <c r="E35" s="172">
        <f>SUM(E8:E34)</f>
        <v>15983278.210000001</v>
      </c>
      <c r="F35" s="170">
        <f t="shared" si="39"/>
        <v>0.28999999999999998</v>
      </c>
      <c r="G35" s="172">
        <f>SUM(G8:G34)</f>
        <v>16769003.539999999</v>
      </c>
      <c r="H35" s="171">
        <f t="shared" si="40"/>
        <v>0.31</v>
      </c>
      <c r="I35" s="172">
        <f>SUM(I8:I34)</f>
        <v>24159609.289999999</v>
      </c>
      <c r="J35" s="172">
        <f>SUM(J8:J34)</f>
        <v>2483077.56</v>
      </c>
      <c r="K35" s="173">
        <f>I35/D35</f>
        <v>0.44</v>
      </c>
      <c r="L35" s="174"/>
    </row>
  </sheetData>
  <mergeCells count="18">
    <mergeCell ref="A2:L2"/>
    <mergeCell ref="A3:A6"/>
    <mergeCell ref="B3:B6"/>
    <mergeCell ref="C3:C6"/>
    <mergeCell ref="A35:C35"/>
    <mergeCell ref="D3:D6"/>
    <mergeCell ref="E3:K3"/>
    <mergeCell ref="L3:L6"/>
    <mergeCell ref="E4:F4"/>
    <mergeCell ref="G4:H4"/>
    <mergeCell ref="I4:K4"/>
    <mergeCell ref="E5:E6"/>
    <mergeCell ref="F5:F6"/>
    <mergeCell ref="G5:G6"/>
    <mergeCell ref="H5:H6"/>
    <mergeCell ref="I5:I6"/>
    <mergeCell ref="J5:J6"/>
    <mergeCell ref="K5:K6"/>
  </mergeCells>
  <phoneticPr fontId="19" type="noConversion"/>
  <pageMargins left="0.7" right="0.7" top="0.75" bottom="0.75" header="0.3" footer="0.3"/>
  <pageSetup paperSize="8" scale="90" orientation="landscape" r:id="rId1"/>
  <colBreaks count="1" manualBreakCount="1">
    <brk id="12" max="1048575" man="1"/>
  </colBreaks>
  <ignoredErrors>
    <ignoredError sqref="F29 D24 H35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N28"/>
  <sheetViews>
    <sheetView topLeftCell="B25" workbookViewId="0">
      <selection activeCell="G10" sqref="G10"/>
    </sheetView>
  </sheetViews>
  <sheetFormatPr defaultRowHeight="15" x14ac:dyDescent="0.25"/>
  <cols>
    <col min="2" max="2" width="18.85546875" style="50" customWidth="1"/>
    <col min="3" max="3" width="48.5703125" customWidth="1"/>
    <col min="4" max="4" width="14.7109375" style="54" customWidth="1"/>
    <col min="5" max="5" width="13.140625" style="54" bestFit="1" customWidth="1"/>
    <col min="6" max="6" width="11.85546875" customWidth="1"/>
    <col min="7" max="7" width="13.140625" style="54" bestFit="1" customWidth="1"/>
    <col min="8" max="8" width="14.140625" customWidth="1"/>
    <col min="9" max="9" width="13.85546875" style="54" customWidth="1"/>
    <col min="10" max="10" width="11.28515625" style="54" bestFit="1" customWidth="1"/>
    <col min="11" max="11" width="14" customWidth="1"/>
    <col min="12" max="12" width="18.140625" customWidth="1"/>
    <col min="13" max="13" width="13.42578125" bestFit="1" customWidth="1"/>
    <col min="14" max="14" width="25.140625" customWidth="1"/>
  </cols>
  <sheetData>
    <row r="2" spans="1:14" ht="58.5" customHeight="1" x14ac:dyDescent="0.25">
      <c r="A2" s="338" t="s">
        <v>468</v>
      </c>
      <c r="B2" s="338"/>
      <c r="C2" s="338"/>
      <c r="D2" s="338"/>
      <c r="E2" s="338"/>
      <c r="F2" s="338"/>
      <c r="G2" s="338"/>
      <c r="H2" s="338"/>
      <c r="I2" s="338"/>
      <c r="J2" s="338"/>
      <c r="K2" s="339"/>
      <c r="L2" s="339"/>
    </row>
    <row r="3" spans="1:14" x14ac:dyDescent="0.25">
      <c r="A3" s="343" t="s">
        <v>0</v>
      </c>
      <c r="B3" s="343" t="s">
        <v>1</v>
      </c>
      <c r="C3" s="346" t="s">
        <v>2</v>
      </c>
      <c r="D3" s="349" t="s">
        <v>3</v>
      </c>
      <c r="E3" s="352" t="s">
        <v>4</v>
      </c>
      <c r="F3" s="353"/>
      <c r="G3" s="353"/>
      <c r="H3" s="353"/>
      <c r="I3" s="353"/>
      <c r="J3" s="353"/>
      <c r="K3" s="354"/>
      <c r="L3" s="346" t="s">
        <v>5</v>
      </c>
    </row>
    <row r="4" spans="1:14" ht="41.25" customHeight="1" x14ac:dyDescent="0.25">
      <c r="A4" s="344"/>
      <c r="B4" s="344"/>
      <c r="C4" s="347"/>
      <c r="D4" s="350"/>
      <c r="E4" s="352" t="s">
        <v>6</v>
      </c>
      <c r="F4" s="354"/>
      <c r="G4" s="352" t="s">
        <v>7</v>
      </c>
      <c r="H4" s="354"/>
      <c r="I4" s="352" t="s">
        <v>8</v>
      </c>
      <c r="J4" s="353"/>
      <c r="K4" s="354"/>
      <c r="L4" s="347"/>
    </row>
    <row r="5" spans="1:14" x14ac:dyDescent="0.25">
      <c r="A5" s="344"/>
      <c r="B5" s="344"/>
      <c r="C5" s="347"/>
      <c r="D5" s="350"/>
      <c r="E5" s="349" t="s">
        <v>9</v>
      </c>
      <c r="F5" s="346" t="s">
        <v>10</v>
      </c>
      <c r="G5" s="349" t="s">
        <v>9</v>
      </c>
      <c r="H5" s="346" t="s">
        <v>10</v>
      </c>
      <c r="I5" s="349" t="s">
        <v>11</v>
      </c>
      <c r="J5" s="349" t="s">
        <v>12</v>
      </c>
      <c r="K5" s="346" t="s">
        <v>10</v>
      </c>
      <c r="L5" s="347"/>
    </row>
    <row r="6" spans="1:14" x14ac:dyDescent="0.25">
      <c r="A6" s="345"/>
      <c r="B6" s="345"/>
      <c r="C6" s="348"/>
      <c r="D6" s="351"/>
      <c r="E6" s="351"/>
      <c r="F6" s="348"/>
      <c r="G6" s="351"/>
      <c r="H6" s="348"/>
      <c r="I6" s="351"/>
      <c r="J6" s="351"/>
      <c r="K6" s="348"/>
      <c r="L6" s="348"/>
    </row>
    <row r="7" spans="1:14" x14ac:dyDescent="0.25">
      <c r="A7" s="1">
        <v>1</v>
      </c>
      <c r="B7" s="1">
        <v>2</v>
      </c>
      <c r="C7" s="2">
        <v>3</v>
      </c>
      <c r="D7" s="57">
        <v>4</v>
      </c>
      <c r="E7" s="57">
        <v>5</v>
      </c>
      <c r="F7" s="1">
        <v>6</v>
      </c>
      <c r="G7" s="57">
        <v>7</v>
      </c>
      <c r="H7" s="1">
        <v>8</v>
      </c>
      <c r="I7" s="57">
        <v>9</v>
      </c>
      <c r="J7" s="57">
        <v>10</v>
      </c>
      <c r="K7" s="1">
        <v>11</v>
      </c>
      <c r="L7" s="1">
        <v>12</v>
      </c>
    </row>
    <row r="8" spans="1:14" ht="31.5" x14ac:dyDescent="0.25">
      <c r="A8" s="109">
        <v>1</v>
      </c>
      <c r="B8" s="2">
        <v>2015</v>
      </c>
      <c r="C8" s="99" t="s">
        <v>189</v>
      </c>
      <c r="D8" s="100">
        <f>E8+G8+I8+J8</f>
        <v>314876.13</v>
      </c>
      <c r="E8" s="101">
        <v>161080.13</v>
      </c>
      <c r="F8" s="102">
        <f>E8/D8</f>
        <v>0.51</v>
      </c>
      <c r="G8" s="103">
        <v>0</v>
      </c>
      <c r="H8" s="95">
        <f>G8/D8</f>
        <v>0</v>
      </c>
      <c r="I8" s="101">
        <v>0</v>
      </c>
      <c r="J8" s="156">
        <v>153796</v>
      </c>
      <c r="K8" s="102">
        <f>(J8+I8)/D8</f>
        <v>0.49</v>
      </c>
      <c r="L8" s="104" t="s">
        <v>14</v>
      </c>
      <c r="N8" s="242"/>
    </row>
    <row r="9" spans="1:14" ht="33.75" x14ac:dyDescent="0.25">
      <c r="A9" s="117">
        <v>2</v>
      </c>
      <c r="B9" s="2">
        <v>2015</v>
      </c>
      <c r="C9" s="92" t="s">
        <v>190</v>
      </c>
      <c r="D9" s="100">
        <f t="shared" ref="D9:D14" si="0">E9+G9+I9+J9</f>
        <v>36654</v>
      </c>
      <c r="E9" s="94">
        <v>18327</v>
      </c>
      <c r="F9" s="102">
        <f t="shared" ref="F9" si="1">E9/D9</f>
        <v>0.5</v>
      </c>
      <c r="G9" s="94">
        <v>18327</v>
      </c>
      <c r="H9" s="95">
        <f t="shared" ref="H9" si="2">G9/D9</f>
        <v>0.5</v>
      </c>
      <c r="I9" s="94">
        <v>0</v>
      </c>
      <c r="J9" s="94">
        <v>0</v>
      </c>
      <c r="K9" s="102">
        <f t="shared" ref="K9" si="3">(J9+I9)/D9</f>
        <v>0</v>
      </c>
      <c r="L9" s="116" t="s">
        <v>14</v>
      </c>
    </row>
    <row r="10" spans="1:14" ht="22.5" x14ac:dyDescent="0.25">
      <c r="A10" s="117">
        <v>3</v>
      </c>
      <c r="B10" s="2">
        <v>2016</v>
      </c>
      <c r="C10" s="92" t="s">
        <v>191</v>
      </c>
      <c r="D10" s="100">
        <f t="shared" si="0"/>
        <v>131428.45000000001</v>
      </c>
      <c r="E10" s="94">
        <v>131428.45000000001</v>
      </c>
      <c r="F10" s="102">
        <f t="shared" ref="F10" si="4">E10/D10</f>
        <v>1</v>
      </c>
      <c r="G10" s="94">
        <v>0</v>
      </c>
      <c r="H10" s="95">
        <f t="shared" ref="H10" si="5">G10/D10</f>
        <v>0</v>
      </c>
      <c r="I10" s="94">
        <v>0</v>
      </c>
      <c r="J10" s="94">
        <v>0</v>
      </c>
      <c r="K10" s="102">
        <f t="shared" ref="K10" si="6">(J10+I10)/D10</f>
        <v>0</v>
      </c>
      <c r="L10" s="116" t="s">
        <v>14</v>
      </c>
    </row>
    <row r="11" spans="1:14" ht="33.75" x14ac:dyDescent="0.25">
      <c r="A11" s="120">
        <v>4</v>
      </c>
      <c r="B11" s="29">
        <v>2016</v>
      </c>
      <c r="C11" s="92" t="s">
        <v>192</v>
      </c>
      <c r="D11" s="100">
        <f t="shared" si="0"/>
        <v>128032.5</v>
      </c>
      <c r="E11" s="94">
        <v>108032.5</v>
      </c>
      <c r="F11" s="102">
        <f t="shared" ref="F11" si="7">E11/D11</f>
        <v>0.84</v>
      </c>
      <c r="G11" s="94">
        <v>20000</v>
      </c>
      <c r="H11" s="95">
        <f t="shared" ref="H11" si="8">G11/D11</f>
        <v>0.16</v>
      </c>
      <c r="I11" s="94">
        <v>0</v>
      </c>
      <c r="J11" s="94">
        <v>0</v>
      </c>
      <c r="K11" s="102">
        <f t="shared" ref="K11" si="9">(J11+I11)/D11</f>
        <v>0</v>
      </c>
      <c r="L11" s="116" t="s">
        <v>14</v>
      </c>
    </row>
    <row r="12" spans="1:14" ht="22.5" x14ac:dyDescent="0.25">
      <c r="A12" s="123">
        <v>5</v>
      </c>
      <c r="B12" s="2">
        <v>2017</v>
      </c>
      <c r="C12" s="92" t="s">
        <v>193</v>
      </c>
      <c r="D12" s="100">
        <f t="shared" si="0"/>
        <v>20910</v>
      </c>
      <c r="E12" s="94">
        <v>10455</v>
      </c>
      <c r="F12" s="102">
        <f t="shared" ref="F12" si="10">E12/D12</f>
        <v>0.5</v>
      </c>
      <c r="G12" s="94">
        <v>10455</v>
      </c>
      <c r="H12" s="95">
        <f t="shared" ref="H12" si="11">G12/D12</f>
        <v>0.5</v>
      </c>
      <c r="I12" s="94">
        <v>0</v>
      </c>
      <c r="J12" s="94">
        <v>0</v>
      </c>
      <c r="K12" s="102">
        <f t="shared" ref="K12" si="12">(J12+I12)/D12</f>
        <v>0</v>
      </c>
      <c r="L12" s="116" t="s">
        <v>14</v>
      </c>
    </row>
    <row r="13" spans="1:14" ht="22.5" x14ac:dyDescent="0.25">
      <c r="A13" s="122">
        <v>6</v>
      </c>
      <c r="B13" s="81">
        <v>2017</v>
      </c>
      <c r="C13" s="92" t="s">
        <v>194</v>
      </c>
      <c r="D13" s="100">
        <f t="shared" si="0"/>
        <v>36531</v>
      </c>
      <c r="E13" s="93">
        <v>36531</v>
      </c>
      <c r="F13" s="102">
        <f t="shared" ref="F13" si="13">E13/D13</f>
        <v>1</v>
      </c>
      <c r="G13" s="94">
        <v>0</v>
      </c>
      <c r="H13" s="95">
        <f t="shared" ref="H13" si="14">G13/D13</f>
        <v>0</v>
      </c>
      <c r="I13" s="93">
        <v>0</v>
      </c>
      <c r="J13" s="93">
        <v>0</v>
      </c>
      <c r="K13" s="102">
        <f t="shared" ref="K13" si="15">(J13+I13)/D13</f>
        <v>0</v>
      </c>
      <c r="L13" s="96" t="s">
        <v>14</v>
      </c>
    </row>
    <row r="14" spans="1:14" ht="22.5" x14ac:dyDescent="0.25">
      <c r="A14" s="123">
        <v>7</v>
      </c>
      <c r="B14" s="2">
        <v>2017</v>
      </c>
      <c r="C14" s="92" t="s">
        <v>195</v>
      </c>
      <c r="D14" s="100">
        <f t="shared" si="0"/>
        <v>6765</v>
      </c>
      <c r="E14" s="94">
        <v>6765</v>
      </c>
      <c r="F14" s="102">
        <f t="shared" ref="F14" si="16">E14/D14</f>
        <v>1</v>
      </c>
      <c r="G14" s="94">
        <v>0</v>
      </c>
      <c r="H14" s="95">
        <f t="shared" ref="H14" si="17">G14/D14</f>
        <v>0</v>
      </c>
      <c r="I14" s="94">
        <v>0</v>
      </c>
      <c r="J14" s="94">
        <v>0</v>
      </c>
      <c r="K14" s="102">
        <f t="shared" ref="K14" si="18">(J14+I14)/D14</f>
        <v>0</v>
      </c>
      <c r="L14" s="116" t="s">
        <v>14</v>
      </c>
    </row>
    <row r="15" spans="1:14" ht="22.5" x14ac:dyDescent="0.25">
      <c r="A15" s="126">
        <v>8</v>
      </c>
      <c r="B15" s="2" t="s">
        <v>457</v>
      </c>
      <c r="C15" s="145" t="s">
        <v>196</v>
      </c>
      <c r="D15" s="100">
        <v>68265</v>
      </c>
      <c r="E15" s="94">
        <v>68265</v>
      </c>
      <c r="F15" s="102">
        <f t="shared" ref="F15" si="19">E15/D15</f>
        <v>1</v>
      </c>
      <c r="G15" s="94">
        <v>0</v>
      </c>
      <c r="H15" s="95">
        <f t="shared" ref="H15" si="20">G15/D15</f>
        <v>0</v>
      </c>
      <c r="I15" s="94">
        <v>0</v>
      </c>
      <c r="J15" s="94">
        <v>0</v>
      </c>
      <c r="K15" s="102">
        <f t="shared" ref="K15" si="21">(J15+I15)/D15</f>
        <v>0</v>
      </c>
      <c r="L15" s="116" t="s">
        <v>14</v>
      </c>
    </row>
    <row r="16" spans="1:14" ht="22.5" x14ac:dyDescent="0.25">
      <c r="A16" s="22">
        <v>9</v>
      </c>
      <c r="B16" s="29">
        <v>2017</v>
      </c>
      <c r="C16" s="92" t="s">
        <v>197</v>
      </c>
      <c r="D16" s="100">
        <f t="shared" ref="D16" si="22">E16+G16+I16+J16</f>
        <v>83053</v>
      </c>
      <c r="E16" s="94">
        <v>83053</v>
      </c>
      <c r="F16" s="102">
        <f t="shared" ref="F16" si="23">E16/D16</f>
        <v>1</v>
      </c>
      <c r="G16" s="94">
        <v>0</v>
      </c>
      <c r="H16" s="95">
        <f t="shared" ref="H16" si="24">G16/D16</f>
        <v>0</v>
      </c>
      <c r="I16" s="94">
        <v>0</v>
      </c>
      <c r="J16" s="94">
        <v>0</v>
      </c>
      <c r="K16" s="102">
        <f t="shared" ref="K16" si="25">(J16+I16)/D16</f>
        <v>0</v>
      </c>
      <c r="L16" s="116" t="s">
        <v>14</v>
      </c>
    </row>
    <row r="17" spans="1:14" ht="22.5" x14ac:dyDescent="0.25">
      <c r="A17" s="22">
        <v>10</v>
      </c>
      <c r="B17" s="29">
        <v>2017</v>
      </c>
      <c r="C17" s="92" t="s">
        <v>198</v>
      </c>
      <c r="D17" s="100">
        <f t="shared" ref="D17" si="26">E17+G17+I17+J17</f>
        <v>145884</v>
      </c>
      <c r="E17" s="94">
        <v>145884</v>
      </c>
      <c r="F17" s="102">
        <f t="shared" ref="F17" si="27">E17/D17</f>
        <v>1</v>
      </c>
      <c r="G17" s="94">
        <v>0</v>
      </c>
      <c r="H17" s="95">
        <f t="shared" ref="H17" si="28">G17/D17</f>
        <v>0</v>
      </c>
      <c r="I17" s="94">
        <v>0</v>
      </c>
      <c r="J17" s="94">
        <v>0</v>
      </c>
      <c r="K17" s="102">
        <f t="shared" ref="K17" si="29">(J17+I17)/D17</f>
        <v>0</v>
      </c>
      <c r="L17" s="116" t="s">
        <v>14</v>
      </c>
    </row>
    <row r="18" spans="1:14" ht="22.5" x14ac:dyDescent="0.25">
      <c r="A18" s="123">
        <v>11</v>
      </c>
      <c r="B18" s="2">
        <v>2018</v>
      </c>
      <c r="C18" s="92" t="s">
        <v>199</v>
      </c>
      <c r="D18" s="100">
        <f t="shared" ref="D18" si="30">E18+G18+I18+J18</f>
        <v>2241991.91</v>
      </c>
      <c r="E18" s="94">
        <v>1120995.96</v>
      </c>
      <c r="F18" s="102">
        <f t="shared" ref="F18" si="31">E18/D18</f>
        <v>0.5</v>
      </c>
      <c r="G18" s="94">
        <v>1120995.95</v>
      </c>
      <c r="H18" s="95">
        <f t="shared" ref="H18" si="32">G18/D18</f>
        <v>0.5</v>
      </c>
      <c r="I18" s="94">
        <v>0</v>
      </c>
      <c r="J18" s="94">
        <v>0</v>
      </c>
      <c r="K18" s="102">
        <f t="shared" ref="K18" si="33">(J18+I18)/D18</f>
        <v>0</v>
      </c>
      <c r="L18" s="116" t="s">
        <v>14</v>
      </c>
    </row>
    <row r="19" spans="1:14" ht="22.5" x14ac:dyDescent="0.25">
      <c r="A19" s="123">
        <v>12</v>
      </c>
      <c r="B19" s="2">
        <v>2018</v>
      </c>
      <c r="C19" s="92" t="s">
        <v>200</v>
      </c>
      <c r="D19" s="100">
        <f t="shared" ref="D19" si="34">E19+G19+I19+J19</f>
        <v>985663.78</v>
      </c>
      <c r="E19" s="94">
        <v>492831.89</v>
      </c>
      <c r="F19" s="102">
        <f t="shared" ref="F19" si="35">E19/D19</f>
        <v>0.5</v>
      </c>
      <c r="G19" s="94">
        <v>492831.89</v>
      </c>
      <c r="H19" s="95">
        <f t="shared" ref="H19" si="36">G19/D19</f>
        <v>0.5</v>
      </c>
      <c r="I19" s="94">
        <v>0</v>
      </c>
      <c r="J19" s="94">
        <v>0</v>
      </c>
      <c r="K19" s="102">
        <f t="shared" ref="K19" si="37">(J19+I19)/D19</f>
        <v>0</v>
      </c>
      <c r="L19" s="116" t="s">
        <v>14</v>
      </c>
    </row>
    <row r="20" spans="1:14" ht="48.75" customHeight="1" x14ac:dyDescent="0.25">
      <c r="A20" s="123">
        <v>12</v>
      </c>
      <c r="B20" s="2">
        <v>2018</v>
      </c>
      <c r="C20" s="92" t="s">
        <v>335</v>
      </c>
      <c r="D20" s="100">
        <f t="shared" ref="D20" si="38">E20+G20+I20+J20</f>
        <v>4797</v>
      </c>
      <c r="E20" s="94">
        <v>4797</v>
      </c>
      <c r="F20" s="102">
        <f t="shared" ref="F20" si="39">E20/D20</f>
        <v>1</v>
      </c>
      <c r="G20" s="94">
        <v>0</v>
      </c>
      <c r="H20" s="95">
        <f t="shared" ref="H20" si="40">G20/D20</f>
        <v>0</v>
      </c>
      <c r="I20" s="94">
        <v>0</v>
      </c>
      <c r="J20" s="94">
        <v>0</v>
      </c>
      <c r="K20" s="102">
        <f t="shared" ref="K20" si="41">(J20+I20)/D20</f>
        <v>0</v>
      </c>
      <c r="L20" s="116" t="s">
        <v>14</v>
      </c>
      <c r="M20" s="241"/>
      <c r="N20" s="240"/>
    </row>
    <row r="21" spans="1:14" ht="33.75" x14ac:dyDescent="0.25">
      <c r="A21" s="82">
        <v>2</v>
      </c>
      <c r="B21" s="2">
        <v>2021</v>
      </c>
      <c r="C21" s="92" t="s">
        <v>391</v>
      </c>
      <c r="D21" s="164">
        <f>E21+G21+I21+J21</f>
        <v>3181832.23</v>
      </c>
      <c r="E21" s="94">
        <f>461664.88+337850.68</f>
        <v>799515.56</v>
      </c>
      <c r="F21" s="112">
        <f t="shared" ref="F21:F25" si="42">E21/D21</f>
        <v>0.25</v>
      </c>
      <c r="G21" s="94">
        <v>799515.56</v>
      </c>
      <c r="H21" s="112">
        <f>G21/D21</f>
        <v>0.25</v>
      </c>
      <c r="I21" s="94">
        <v>1582801.11</v>
      </c>
      <c r="J21" s="94">
        <v>0</v>
      </c>
      <c r="K21" s="105">
        <f>(I21+J21)/D21</f>
        <v>0.5</v>
      </c>
      <c r="L21" s="116" t="s">
        <v>14</v>
      </c>
      <c r="M21" s="115"/>
    </row>
    <row r="22" spans="1:14" ht="33.75" x14ac:dyDescent="0.25">
      <c r="A22" s="82">
        <v>3</v>
      </c>
      <c r="B22" s="2" t="s">
        <v>219</v>
      </c>
      <c r="C22" s="92" t="s">
        <v>392</v>
      </c>
      <c r="D22" s="164">
        <f>E22+G22</f>
        <v>68880</v>
      </c>
      <c r="E22" s="94">
        <v>34440</v>
      </c>
      <c r="F22" s="112">
        <f t="shared" si="42"/>
        <v>0.5</v>
      </c>
      <c r="G22" s="94">
        <v>34440</v>
      </c>
      <c r="H22" s="112">
        <f>G22/D22</f>
        <v>0.5</v>
      </c>
      <c r="I22" s="94">
        <v>0</v>
      </c>
      <c r="J22" s="94">
        <v>0</v>
      </c>
      <c r="K22" s="105">
        <v>0</v>
      </c>
      <c r="L22" s="116" t="s">
        <v>14</v>
      </c>
      <c r="M22" s="115"/>
    </row>
    <row r="23" spans="1:14" ht="33.75" x14ac:dyDescent="0.25">
      <c r="A23" s="96">
        <v>4</v>
      </c>
      <c r="B23" s="81">
        <v>2022</v>
      </c>
      <c r="C23" s="92" t="s">
        <v>393</v>
      </c>
      <c r="D23" s="106">
        <f>E23+G23+I23</f>
        <v>3805640.27</v>
      </c>
      <c r="E23" s="94">
        <v>954731.07</v>
      </c>
      <c r="F23" s="107">
        <f t="shared" si="42"/>
        <v>0.25</v>
      </c>
      <c r="G23" s="94">
        <v>954731.07</v>
      </c>
      <c r="H23" s="112">
        <v>0</v>
      </c>
      <c r="I23" s="93">
        <v>1896178.13</v>
      </c>
      <c r="J23" s="93">
        <v>0</v>
      </c>
      <c r="K23" s="88">
        <f>I23/D23</f>
        <v>0.5</v>
      </c>
      <c r="L23" s="96" t="s">
        <v>14</v>
      </c>
    </row>
    <row r="24" spans="1:14" ht="33.75" x14ac:dyDescent="0.25">
      <c r="A24" s="96">
        <v>6</v>
      </c>
      <c r="B24" s="81" t="s">
        <v>216</v>
      </c>
      <c r="C24" s="145" t="s">
        <v>394</v>
      </c>
      <c r="D24" s="106">
        <f>E24+G24</f>
        <v>78474</v>
      </c>
      <c r="E24" s="93">
        <v>39237</v>
      </c>
      <c r="F24" s="107">
        <f t="shared" si="42"/>
        <v>0.5</v>
      </c>
      <c r="G24" s="94">
        <f>9225+30012</f>
        <v>39237</v>
      </c>
      <c r="H24" s="112">
        <f>G24/D24</f>
        <v>0.5</v>
      </c>
      <c r="I24" s="93">
        <v>0</v>
      </c>
      <c r="J24" s="93">
        <v>0</v>
      </c>
      <c r="K24" s="88">
        <v>0</v>
      </c>
      <c r="L24" s="96" t="s">
        <v>14</v>
      </c>
    </row>
    <row r="25" spans="1:14" ht="22.5" x14ac:dyDescent="0.25">
      <c r="A25" s="41">
        <v>7</v>
      </c>
      <c r="B25" s="5">
        <v>2022</v>
      </c>
      <c r="C25" s="92" t="s">
        <v>395</v>
      </c>
      <c r="D25" s="106">
        <f>E25+G25+I25+J25</f>
        <v>124783.5</v>
      </c>
      <c r="E25" s="94">
        <v>19095.75</v>
      </c>
      <c r="F25" s="107">
        <f t="shared" si="42"/>
        <v>0.15</v>
      </c>
      <c r="G25" s="94">
        <v>19095.75</v>
      </c>
      <c r="H25" s="112">
        <f t="shared" ref="H25:H28" si="43">G25/D25</f>
        <v>0.15</v>
      </c>
      <c r="I25" s="93">
        <v>86592</v>
      </c>
      <c r="J25" s="93">
        <v>0</v>
      </c>
      <c r="K25" s="88">
        <f>I25/D25</f>
        <v>0.69</v>
      </c>
      <c r="L25" s="96" t="s">
        <v>14</v>
      </c>
    </row>
    <row r="26" spans="1:14" ht="33.75" x14ac:dyDescent="0.25">
      <c r="A26" s="96">
        <v>9</v>
      </c>
      <c r="B26" s="81" t="s">
        <v>435</v>
      </c>
      <c r="C26" s="92" t="s">
        <v>447</v>
      </c>
      <c r="D26" s="106">
        <f t="shared" ref="D26" si="44">E26+G26+I26+J26</f>
        <v>942560.07</v>
      </c>
      <c r="E26" s="93">
        <v>196666.92</v>
      </c>
      <c r="F26" s="107">
        <f t="shared" ref="F26" si="45">E26/D26</f>
        <v>0.21</v>
      </c>
      <c r="G26" s="94">
        <v>196666.91</v>
      </c>
      <c r="H26" s="112">
        <f t="shared" si="43"/>
        <v>0.21</v>
      </c>
      <c r="I26" s="93">
        <v>549226.23999999999</v>
      </c>
      <c r="J26" s="93">
        <v>0</v>
      </c>
      <c r="K26" s="107">
        <f t="shared" ref="K26" si="46">I26/D26</f>
        <v>0.57999999999999996</v>
      </c>
      <c r="L26" s="108" t="s">
        <v>14</v>
      </c>
    </row>
    <row r="27" spans="1:14" ht="33.75" x14ac:dyDescent="0.25">
      <c r="A27" s="96">
        <v>10</v>
      </c>
      <c r="B27" s="81" t="s">
        <v>442</v>
      </c>
      <c r="C27" s="145" t="s">
        <v>446</v>
      </c>
      <c r="D27" s="106">
        <f t="shared" ref="D27" si="47">E27+G27+I27+J27</f>
        <v>103935</v>
      </c>
      <c r="E27" s="93">
        <v>79950</v>
      </c>
      <c r="F27" s="107">
        <f t="shared" ref="F27:F28" si="48">E27/D27</f>
        <v>0.77</v>
      </c>
      <c r="G27" s="94">
        <v>23985</v>
      </c>
      <c r="H27" s="112">
        <f t="shared" si="43"/>
        <v>0.23</v>
      </c>
      <c r="I27" s="93">
        <v>0</v>
      </c>
      <c r="J27" s="93">
        <v>0</v>
      </c>
      <c r="K27" s="107">
        <f t="shared" ref="K27" si="49">I27/D27</f>
        <v>0</v>
      </c>
      <c r="L27" s="108" t="s">
        <v>14</v>
      </c>
      <c r="M27" s="115"/>
    </row>
    <row r="28" spans="1:14" ht="33" customHeight="1" x14ac:dyDescent="0.25">
      <c r="A28" s="394" t="s">
        <v>34</v>
      </c>
      <c r="B28" s="394"/>
      <c r="C28" s="394"/>
      <c r="D28" s="165">
        <f>SUM(D8:D27)</f>
        <v>12510956.84</v>
      </c>
      <c r="E28" s="165">
        <f>SUM(E8:E27)</f>
        <v>4512082.2300000004</v>
      </c>
      <c r="F28" s="167">
        <f t="shared" si="48"/>
        <v>0.36</v>
      </c>
      <c r="G28" s="165">
        <f>SUM(G8:G27)</f>
        <v>3730281.13</v>
      </c>
      <c r="H28" s="168">
        <f t="shared" si="43"/>
        <v>0.3</v>
      </c>
      <c r="I28" s="165">
        <f>SUM(I8:I27)</f>
        <v>4114797.48</v>
      </c>
      <c r="J28" s="165">
        <f>SUM(J8:J27)</f>
        <v>153796</v>
      </c>
      <c r="K28" s="166">
        <f>(I28+J28)/D28</f>
        <v>0.34</v>
      </c>
      <c r="L28" s="165"/>
    </row>
  </sheetData>
  <mergeCells count="18">
    <mergeCell ref="A28:C28"/>
    <mergeCell ref="A3:A6"/>
    <mergeCell ref="B3:B6"/>
    <mergeCell ref="C3:C6"/>
    <mergeCell ref="D3:D6"/>
    <mergeCell ref="A2:L2"/>
    <mergeCell ref="L3:L6"/>
    <mergeCell ref="E3:K3"/>
    <mergeCell ref="E4:F4"/>
    <mergeCell ref="G4:H4"/>
    <mergeCell ref="I4:K4"/>
    <mergeCell ref="E5:E6"/>
    <mergeCell ref="F5:F6"/>
    <mergeCell ref="G5:G6"/>
    <mergeCell ref="H5:H6"/>
    <mergeCell ref="I5:I6"/>
    <mergeCell ref="J5:J6"/>
    <mergeCell ref="K5:K6"/>
  </mergeCells>
  <phoneticPr fontId="19" type="noConversion"/>
  <pageMargins left="0.7" right="0.7" top="0.75" bottom="0.75" header="0.3" footer="0.3"/>
  <ignoredErrors>
    <ignoredError sqref="D23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2C39B-686C-489F-9F44-AFD549E28D63}">
  <dimension ref="A5:M5"/>
  <sheetViews>
    <sheetView workbookViewId="0">
      <selection activeCell="M5" sqref="M5"/>
    </sheetView>
  </sheetViews>
  <sheetFormatPr defaultRowHeight="15" x14ac:dyDescent="0.25"/>
  <cols>
    <col min="3" max="3" width="47.7109375" customWidth="1"/>
    <col min="4" max="4" width="12.85546875" customWidth="1"/>
    <col min="5" max="5" width="11.85546875" customWidth="1"/>
    <col min="6" max="6" width="12.85546875" customWidth="1"/>
    <col min="13" max="13" width="26.42578125" customWidth="1"/>
  </cols>
  <sheetData>
    <row r="5" spans="1:13" ht="78" customHeight="1" x14ac:dyDescent="0.25">
      <c r="A5" s="98">
        <v>6</v>
      </c>
      <c r="B5" s="98" t="s">
        <v>405</v>
      </c>
      <c r="C5" s="99" t="s">
        <v>509</v>
      </c>
      <c r="D5" s="233">
        <v>158670</v>
      </c>
      <c r="E5" s="78">
        <v>158670</v>
      </c>
      <c r="F5" s="79">
        <f t="shared" ref="F5" si="0">E5/D5</f>
        <v>1</v>
      </c>
      <c r="G5" s="78">
        <v>0</v>
      </c>
      <c r="H5" s="79">
        <f t="shared" ref="H5" si="1">G5/D5</f>
        <v>0</v>
      </c>
      <c r="I5" s="78">
        <v>0</v>
      </c>
      <c r="J5" s="78">
        <v>0</v>
      </c>
      <c r="K5" s="56">
        <f t="shared" ref="K5" si="2">(J5+I5)/D5</f>
        <v>0</v>
      </c>
      <c r="L5" s="53" t="s">
        <v>14</v>
      </c>
      <c r="M5" t="s">
        <v>510</v>
      </c>
    </row>
  </sheetData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BEE4-EB58-4BE8-A98D-5D2BF3EE56E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2</vt:i4>
      </vt:variant>
    </vt:vector>
  </HeadingPairs>
  <TitlesOfParts>
    <vt:vector size="20" baseType="lpstr">
      <vt:lpstr>Gmina Choroszcz +</vt:lpstr>
      <vt:lpstr>Gmina Czarna Białostocka</vt:lpstr>
      <vt:lpstr>Gmina Dobrzyniewo Duże+</vt:lpstr>
      <vt:lpstr>Gmina Grabówka+</vt:lpstr>
      <vt:lpstr>Gmina Gródek</vt:lpstr>
      <vt:lpstr>Gmina Juchnowiec Kościelny+</vt:lpstr>
      <vt:lpstr>Gmina Łapy+</vt:lpstr>
      <vt:lpstr>Gmina Michałowo+</vt:lpstr>
      <vt:lpstr>Gmina Poświętne+</vt:lpstr>
      <vt:lpstr>Gmina Supraśl+</vt:lpstr>
      <vt:lpstr>Gmina Suraż+</vt:lpstr>
      <vt:lpstr>Gmina Turośń Kościelna</vt:lpstr>
      <vt:lpstr>Gmina Tykocin+</vt:lpstr>
      <vt:lpstr>Gmina Wasilków+</vt:lpstr>
      <vt:lpstr>Gmina Zabłudów+</vt:lpstr>
      <vt:lpstr>Gmina Zawady+</vt:lpstr>
      <vt:lpstr>inwestycje w TRAKCIE</vt:lpstr>
      <vt:lpstr>Arkusz1</vt:lpstr>
      <vt:lpstr>'Gmina Choroszcz +'!Obszar_wydruku</vt:lpstr>
      <vt:lpstr>'Gmina Czarna Białostocka'!Obszar_wydruku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Waszczeniuk</dc:creator>
  <cp:lastModifiedBy>Aneta Niemiec</cp:lastModifiedBy>
  <cp:lastPrinted>2026-05-15T08:42:36Z</cp:lastPrinted>
  <dcterms:created xsi:type="dcterms:W3CDTF">2018-10-09T09:47:47Z</dcterms:created>
  <dcterms:modified xsi:type="dcterms:W3CDTF">2026-09-30T05:39:04Z</dcterms:modified>
</cp:coreProperties>
</file>